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 ISS 3%" sheetId="3" r:id="rId2"/>
    <sheet name="Posto 12x36 noturno ISS 3%" sheetId="10" r:id="rId3"/>
    <sheet name="Posto 12x36 diurno ISS 4%" sheetId="25" r:id="rId4"/>
    <sheet name="Posto 12x36 noturno ISS 4%" sheetId="26" r:id="rId5"/>
    <sheet name="Planilha de Apoio - P 12 x 36" sheetId="4" r:id="rId6"/>
  </sheets>
  <definedNames>
    <definedName name="_xlnm.Print_Area" localSheetId="1">'Posto 12x36 diurno ISS 3%'!$A$1:$D$140</definedName>
    <definedName name="_xlnm.Print_Area" localSheetId="2">'Posto 12x36 noturno ISS 3%'!$A$1:$D$142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9" i="26" l="1"/>
  <c r="C117" i="25"/>
  <c r="D33" i="4" l="1"/>
  <c r="D32" i="4"/>
  <c r="C33" i="4"/>
  <c r="C32" i="4"/>
  <c r="B87" i="26" l="1"/>
  <c r="C50" i="26"/>
  <c r="B50" i="26"/>
  <c r="C48" i="25"/>
  <c r="B48" i="25"/>
  <c r="B47" i="25"/>
  <c r="B46" i="25"/>
  <c r="B45" i="25"/>
  <c r="B44" i="25"/>
  <c r="B43" i="25"/>
  <c r="B42" i="25"/>
  <c r="B87" i="10"/>
  <c r="B49" i="10"/>
  <c r="B48" i="10"/>
  <c r="B47" i="10"/>
  <c r="B46" i="10"/>
  <c r="B45" i="10"/>
  <c r="B44" i="10"/>
  <c r="C50" i="10"/>
  <c r="B50" i="10"/>
  <c r="C48" i="3"/>
  <c r="B51" i="26"/>
  <c r="B49" i="25"/>
  <c r="B51" i="10"/>
  <c r="C85" i="25"/>
  <c r="C84" i="25"/>
  <c r="C83" i="25"/>
  <c r="C82" i="25"/>
  <c r="C81" i="25"/>
  <c r="C80" i="25"/>
  <c r="C70" i="25"/>
  <c r="C69" i="25"/>
  <c r="C68" i="25"/>
  <c r="C67" i="25"/>
  <c r="C66" i="25"/>
  <c r="C65" i="25"/>
  <c r="C35" i="25"/>
  <c r="C34" i="25"/>
  <c r="C33" i="25"/>
  <c r="C32" i="25"/>
  <c r="C31" i="25"/>
  <c r="C30" i="25"/>
  <c r="C29" i="25"/>
  <c r="C28" i="25"/>
  <c r="C21" i="25"/>
  <c r="C20" i="25"/>
  <c r="C50" i="4" l="1"/>
  <c r="C51" i="26" l="1"/>
  <c r="C49" i="25"/>
  <c r="C49" i="26"/>
  <c r="C47" i="25"/>
  <c r="C45" i="25"/>
  <c r="C51" i="10"/>
  <c r="C49" i="10"/>
  <c r="E122" i="26"/>
  <c r="C122" i="26"/>
  <c r="E120" i="25"/>
  <c r="C120" i="25"/>
  <c r="E122" i="10"/>
  <c r="E120" i="3"/>
  <c r="C46" i="3" l="1"/>
  <c r="C48" i="26" l="1"/>
  <c r="C48" i="10"/>
  <c r="C46" i="25"/>
  <c r="C94" i="26"/>
  <c r="C92" i="25"/>
  <c r="C94" i="10"/>
  <c r="C92" i="3"/>
  <c r="C46" i="26" l="1"/>
  <c r="C44" i="25"/>
  <c r="C46" i="10"/>
  <c r="D45" i="4" l="1"/>
  <c r="D44" i="4"/>
  <c r="D38" i="4"/>
  <c r="D37" i="4"/>
  <c r="C87" i="26" l="1"/>
  <c r="C86" i="26"/>
  <c r="C85" i="26"/>
  <c r="C84" i="26"/>
  <c r="C83" i="26"/>
  <c r="C82" i="26"/>
  <c r="C72" i="26"/>
  <c r="C71" i="26"/>
  <c r="C70" i="26"/>
  <c r="C69" i="26"/>
  <c r="C68" i="26"/>
  <c r="C67" i="26"/>
  <c r="C37" i="26"/>
  <c r="C36" i="26"/>
  <c r="C35" i="26"/>
  <c r="C34" i="26"/>
  <c r="C33" i="26"/>
  <c r="C32" i="26"/>
  <c r="C31" i="26"/>
  <c r="C30" i="26"/>
  <c r="C23" i="26"/>
  <c r="C22" i="26"/>
  <c r="C24" i="26" s="1"/>
  <c r="D12" i="26"/>
  <c r="C11" i="26"/>
  <c r="E93" i="26" s="1"/>
  <c r="E96" i="26" s="1"/>
  <c r="E97" i="26" s="1"/>
  <c r="E98" i="26" s="1"/>
  <c r="C95" i="26" s="1"/>
  <c r="C102" i="26" s="1"/>
  <c r="C118" i="25"/>
  <c r="C125" i="25" s="1"/>
  <c r="C86" i="25"/>
  <c r="C36" i="25"/>
  <c r="C22" i="25"/>
  <c r="C11" i="25"/>
  <c r="C12" i="25" s="1"/>
  <c r="E36" i="25" l="1"/>
  <c r="C73" i="26"/>
  <c r="C38" i="26"/>
  <c r="C88" i="26"/>
  <c r="D10" i="26"/>
  <c r="E10" i="26" s="1"/>
  <c r="E11" i="26" s="1"/>
  <c r="E12" i="26" s="1"/>
  <c r="C13" i="26" s="1"/>
  <c r="C120" i="26"/>
  <c r="C127" i="26" s="1"/>
  <c r="D20" i="25"/>
  <c r="D85" i="25"/>
  <c r="D65" i="25"/>
  <c r="D84" i="25"/>
  <c r="D70" i="25"/>
  <c r="D83" i="25"/>
  <c r="D82" i="25"/>
  <c r="C131" i="25"/>
  <c r="D81" i="25"/>
  <c r="D68" i="25"/>
  <c r="D22" i="25"/>
  <c r="D80" i="25"/>
  <c r="D67" i="25"/>
  <c r="D86" i="25"/>
  <c r="C99" i="25" s="1"/>
  <c r="D66" i="25"/>
  <c r="D21" i="25"/>
  <c r="C71" i="25"/>
  <c r="C87" i="25" s="1"/>
  <c r="D69" i="25"/>
  <c r="F91" i="25"/>
  <c r="F92" i="25" s="1"/>
  <c r="F93" i="25" s="1"/>
  <c r="F94" i="25" s="1"/>
  <c r="C93" i="25" s="1"/>
  <c r="C100" i="25" s="1"/>
  <c r="C12" i="26" l="1"/>
  <c r="C14" i="26" s="1"/>
  <c r="C101" i="25"/>
  <c r="C134" i="25" s="1"/>
  <c r="D32" i="25"/>
  <c r="D31" i="25"/>
  <c r="D30" i="25"/>
  <c r="D36" i="25"/>
  <c r="C57" i="25" s="1"/>
  <c r="D28" i="25"/>
  <c r="C56" i="25"/>
  <c r="D35" i="25"/>
  <c r="D34" i="25"/>
  <c r="D33" i="25"/>
  <c r="D29" i="25"/>
  <c r="D71" i="25"/>
  <c r="C133" i="25" s="1"/>
  <c r="D46" i="4"/>
  <c r="D43" i="4"/>
  <c r="D42" i="4"/>
  <c r="D41" i="4"/>
  <c r="D40" i="4"/>
  <c r="D39" i="4"/>
  <c r="C31" i="4"/>
  <c r="D31" i="4" s="1"/>
  <c r="C30" i="4"/>
  <c r="D30" i="4" s="1"/>
  <c r="C29" i="4"/>
  <c r="D29" i="4" s="1"/>
  <c r="D25" i="4"/>
  <c r="D20" i="4"/>
  <c r="D19" i="4"/>
  <c r="E10" i="4"/>
  <c r="C14" i="4" s="1"/>
  <c r="E6" i="4"/>
  <c r="B14" i="4" s="1"/>
  <c r="D34" i="4" l="1"/>
  <c r="B50" i="4"/>
  <c r="C45" i="3"/>
  <c r="C133" i="26"/>
  <c r="D85" i="26"/>
  <c r="D69" i="26"/>
  <c r="D24" i="26"/>
  <c r="D88" i="26"/>
  <c r="C101" i="26" s="1"/>
  <c r="C103" i="26" s="1"/>
  <c r="C136" i="26" s="1"/>
  <c r="D84" i="26"/>
  <c r="D72" i="26"/>
  <c r="D68" i="26"/>
  <c r="D23" i="26"/>
  <c r="D22" i="26"/>
  <c r="D87" i="26"/>
  <c r="D83" i="26"/>
  <c r="D71" i="26"/>
  <c r="D67" i="26"/>
  <c r="D86" i="26"/>
  <c r="D82" i="26"/>
  <c r="D70" i="26"/>
  <c r="D14" i="4"/>
  <c r="D21" i="4"/>
  <c r="C108" i="3" l="1"/>
  <c r="C108" i="25"/>
  <c r="C110" i="26"/>
  <c r="C110" i="10"/>
  <c r="C107" i="25"/>
  <c r="C47" i="26"/>
  <c r="C42" i="3"/>
  <c r="C42" i="25"/>
  <c r="C43" i="3"/>
  <c r="C43" i="25"/>
  <c r="D73" i="26"/>
  <c r="C135" i="26" s="1"/>
  <c r="D37" i="26"/>
  <c r="D33" i="26"/>
  <c r="D35" i="26"/>
  <c r="C58" i="26"/>
  <c r="D36" i="26"/>
  <c r="D32" i="26"/>
  <c r="D31" i="26"/>
  <c r="D38" i="26"/>
  <c r="C59" i="26" s="1"/>
  <c r="D34" i="26"/>
  <c r="D30" i="26"/>
  <c r="C119" i="10"/>
  <c r="D12" i="10"/>
  <c r="C109" i="26" l="1"/>
  <c r="C113" i="26" s="1"/>
  <c r="C137" i="26" s="1"/>
  <c r="C109" i="10"/>
  <c r="C107" i="3"/>
  <c r="C50" i="25"/>
  <c r="C58" i="25" s="1"/>
  <c r="C59" i="25" s="1"/>
  <c r="C132" i="25" s="1"/>
  <c r="C111" i="25"/>
  <c r="C135" i="25" s="1"/>
  <c r="C44" i="26"/>
  <c r="C45" i="26"/>
  <c r="C50" i="3"/>
  <c r="C47" i="10"/>
  <c r="D119" i="25" l="1"/>
  <c r="C136" i="25"/>
  <c r="C52" i="26"/>
  <c r="C60" i="26" s="1"/>
  <c r="C61" i="26" s="1"/>
  <c r="C134" i="26" s="1"/>
  <c r="C138" i="26" s="1"/>
  <c r="C45" i="10"/>
  <c r="C44" i="10"/>
  <c r="D117" i="25" l="1"/>
  <c r="D118" i="25" s="1"/>
  <c r="F125" i="25" s="1"/>
  <c r="E126" i="25" s="1"/>
  <c r="D121" i="26"/>
  <c r="C52" i="10"/>
  <c r="D119" i="26"/>
  <c r="D123" i="25" l="1"/>
  <c r="D121" i="25"/>
  <c r="D120" i="25"/>
  <c r="D122" i="25"/>
  <c r="D124" i="25"/>
  <c r="D120" i="26"/>
  <c r="F127" i="26" s="1"/>
  <c r="E128" i="26" s="1"/>
  <c r="D125" i="25" l="1"/>
  <c r="C137" i="25" s="1"/>
  <c r="C138" i="25" s="1"/>
  <c r="C140" i="25" s="1"/>
  <c r="D122" i="26"/>
  <c r="D123" i="26"/>
  <c r="D125" i="26"/>
  <c r="D124" i="26"/>
  <c r="D126" i="26"/>
  <c r="C66" i="3"/>
  <c r="C80" i="3"/>
  <c r="D127" i="26" l="1"/>
  <c r="C139" i="26" s="1"/>
  <c r="C140" i="26" s="1"/>
  <c r="C142" i="26" s="1"/>
  <c r="F9" i="11" s="1"/>
  <c r="G9" i="11" s="1"/>
  <c r="G10" i="11" s="1"/>
  <c r="G11" i="11" s="1"/>
  <c r="G12" i="11" s="1"/>
  <c r="C67" i="10"/>
  <c r="C69" i="10"/>
  <c r="C70" i="10"/>
  <c r="C72" i="10"/>
  <c r="C87" i="10" l="1"/>
  <c r="C86" i="10"/>
  <c r="C85" i="10"/>
  <c r="C84" i="10"/>
  <c r="C83" i="10"/>
  <c r="C82" i="10"/>
  <c r="C37" i="10"/>
  <c r="C36" i="10"/>
  <c r="C35" i="10"/>
  <c r="C34" i="10"/>
  <c r="C33" i="10"/>
  <c r="C32" i="10"/>
  <c r="C31" i="10"/>
  <c r="C30" i="10"/>
  <c r="C23" i="10"/>
  <c r="C86" i="3"/>
  <c r="C118" i="3"/>
  <c r="C120" i="10" l="1"/>
  <c r="C88" i="10"/>
  <c r="C122" i="10"/>
  <c r="C38" i="10"/>
  <c r="C11" i="10"/>
  <c r="E93" i="10" l="1"/>
  <c r="E96" i="10" s="1"/>
  <c r="E97" i="10" s="1"/>
  <c r="E98" i="10" s="1"/>
  <c r="D10" i="10"/>
  <c r="E10" i="10" s="1"/>
  <c r="E11" i="10" s="1"/>
  <c r="C127" i="10"/>
  <c r="C95" i="10" l="1"/>
  <c r="E12" i="10"/>
  <c r="C13" i="10" s="1"/>
  <c r="C12" i="10"/>
  <c r="C14" i="10"/>
  <c r="D69" i="10" s="1"/>
  <c r="C11" i="3"/>
  <c r="F91" i="3" s="1"/>
  <c r="F92" i="3" s="1"/>
  <c r="F93" i="3" s="1"/>
  <c r="F94" i="3" s="1"/>
  <c r="C93" i="3" l="1"/>
  <c r="D82" i="10"/>
  <c r="D87" i="10"/>
  <c r="D67" i="10"/>
  <c r="D23" i="10"/>
  <c r="D88" i="10"/>
  <c r="C101" i="10" s="1"/>
  <c r="D84" i="10"/>
  <c r="D72" i="10"/>
  <c r="D85" i="10"/>
  <c r="D83" i="10"/>
  <c r="D70" i="10"/>
  <c r="D86" i="10"/>
  <c r="C133" i="10"/>
  <c r="C111" i="3" l="1"/>
  <c r="C135" i="3" s="1"/>
  <c r="C113" i="10" l="1"/>
  <c r="C137" i="10" s="1"/>
  <c r="C120" i="3"/>
  <c r="C125" i="3" s="1"/>
  <c r="C100" i="3"/>
  <c r="C68" i="10"/>
  <c r="C36" i="3"/>
  <c r="C69" i="3" s="1"/>
  <c r="C71" i="3" l="1"/>
  <c r="C71" i="10"/>
  <c r="D71" i="10" s="1"/>
  <c r="D68" i="10"/>
  <c r="D73" i="10" l="1"/>
  <c r="C135" i="10" s="1"/>
  <c r="C73" i="10"/>
  <c r="C12" i="3"/>
  <c r="D80" i="3" s="1"/>
  <c r="D67" i="3" l="1"/>
  <c r="D70" i="3"/>
  <c r="D69" i="3"/>
  <c r="C22" i="3"/>
  <c r="D22" i="3" s="1"/>
  <c r="D34" i="3" s="1"/>
  <c r="C22" i="10"/>
  <c r="C58" i="3"/>
  <c r="C60" i="10"/>
  <c r="D81" i="3"/>
  <c r="D66" i="3"/>
  <c r="D82" i="3"/>
  <c r="D68" i="3"/>
  <c r="D83" i="3"/>
  <c r="D84" i="3"/>
  <c r="D65" i="3"/>
  <c r="D86" i="3"/>
  <c r="C131" i="3"/>
  <c r="D85" i="3"/>
  <c r="D21" i="3"/>
  <c r="D20" i="3"/>
  <c r="D71" i="3" l="1"/>
  <c r="C133" i="3" s="1"/>
  <c r="E36" i="3"/>
  <c r="C87" i="3" s="1"/>
  <c r="C24" i="10"/>
  <c r="D24" i="10" s="1"/>
  <c r="D22" i="10"/>
  <c r="D33" i="3"/>
  <c r="D32" i="3"/>
  <c r="C56" i="3"/>
  <c r="D31" i="3"/>
  <c r="D30" i="3"/>
  <c r="D36" i="3"/>
  <c r="C57" i="3" s="1"/>
  <c r="D28" i="3"/>
  <c r="D35" i="3"/>
  <c r="D29" i="3"/>
  <c r="D32" i="10" l="1"/>
  <c r="D34" i="10"/>
  <c r="C58" i="10"/>
  <c r="D33" i="10"/>
  <c r="D36" i="10"/>
  <c r="D35" i="10"/>
  <c r="D37" i="10"/>
  <c r="D31" i="10"/>
  <c r="D30" i="10"/>
  <c r="D38" i="10"/>
  <c r="C59" i="10" s="1"/>
  <c r="C59" i="3"/>
  <c r="C132" i="3" s="1"/>
  <c r="C99" i="3"/>
  <c r="C101" i="3" s="1"/>
  <c r="C134" i="3" s="1"/>
  <c r="C136" i="3" l="1"/>
  <c r="C61" i="10"/>
  <c r="C134" i="10" s="1"/>
  <c r="D117" i="3" l="1"/>
  <c r="D118" i="3" s="1"/>
  <c r="F125" i="3" s="1"/>
  <c r="E126" i="3" s="1"/>
  <c r="D123" i="3" l="1"/>
  <c r="D124" i="3"/>
  <c r="D122" i="3"/>
  <c r="D120" i="3"/>
  <c r="D121" i="3"/>
  <c r="C102" i="10"/>
  <c r="C103" i="10" s="1"/>
  <c r="D125" i="3" l="1"/>
  <c r="C137" i="3" s="1"/>
  <c r="C138" i="3" s="1"/>
  <c r="C140" i="3" s="1"/>
  <c r="C136" i="10"/>
  <c r="C138" i="10" s="1"/>
  <c r="D119" i="10" l="1"/>
  <c r="D120" i="10" l="1"/>
  <c r="F127" i="10" s="1"/>
  <c r="E128" i="10" s="1"/>
  <c r="D126" i="10" l="1"/>
  <c r="D124" i="10"/>
  <c r="D123" i="10"/>
  <c r="D122" i="10"/>
  <c r="D125" i="10"/>
  <c r="D127" i="10" l="1"/>
  <c r="C139" i="10" s="1"/>
  <c r="C140" i="10" s="1"/>
  <c r="C142" i="10" s="1"/>
  <c r="F21" i="11" l="1"/>
  <c r="G21" i="11" s="1"/>
  <c r="G22" i="11" s="1"/>
  <c r="G23" i="11" s="1"/>
  <c r="G24" i="11" s="1"/>
  <c r="F15" i="11"/>
  <c r="G15" i="11" s="1"/>
  <c r="G16" i="11" s="1"/>
  <c r="G17" i="11" s="1"/>
  <c r="G18" i="11" s="1"/>
  <c r="G28" i="11" l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<sst xmlns="http://schemas.openxmlformats.org/spreadsheetml/2006/main" count="790" uniqueCount="170">
  <si>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</si>
  <si>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</si>
  <si>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</si>
  <si>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</si>
  <si>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</si>
  <si>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</si>
  <si>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</si>
  <si>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</si>
  <si>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</si>
  <si>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</si>
  <si>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</si>
  <si>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</si>
  <si>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</si>
  <si>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</si>
  <si>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</si>
  <si>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</si>
  <si>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</si>
  <si>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</si>
  <si>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</si>
  <si>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</si>
  <si>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</si>
  <si>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</si>
  <si>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</si>
  <si>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</si>
  <si>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</si>
  <si>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</si>
  <si>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</si>
  <si>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</si>
  <si>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</si>
  <si>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</si>
  <si>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</si>
  <si>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</si>
  <si>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</si>
  <si>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</si>
  <si>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</si>
  <si>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</si>
  <si>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</si>
  <si>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</si>
  <si>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</si>
  <si>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</si>
  <si>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</si>
  <si>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</si>
  <si>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</si>
  <si>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</si>
  <si>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</si>
  <si>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</si>
  <si>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</si>
  <si>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</si>
  <si>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</si>
  <si>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</si>
  <si>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</si>
  <si>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</si>
  <si>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</si>
  <si>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</si>
  <si>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</si>
  <si>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</si>
  <si>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</si>
  <si>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</si>
  <si>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</si>
  <si>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</si>
  <si>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</si>
  <si>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</si>
  <si>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</si>
  <si>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</si>
  <si>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</si>
  <si>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</si>
  <si>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</si>
  <si>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</si>
  <si>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</si>
  <si>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</si>
  <si>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</si>
  <si>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</si>
  <si>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</si>
  <si>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</si>
  <si>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</si>
  <si>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</si>
  <si>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</si>
  <si>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</si>
  <si>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</si>
  <si>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</si>
  <si>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</si>
  <si>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</si>
  <si>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</si>
  <si>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</si>
  <si>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</si>
  <si>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</si>
  <si>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</si>
  <si>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</si>
  <si>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</si>
  <si>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</si>
  <si>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</si>
  <si>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</si>
  <si>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</si>
  <si>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</si>
  <si>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</si>
  <si>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</si>
  <si>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</si>
  <si>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</si>
  <si>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</si>
  <si>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</si>
  <si>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</si>
  <si>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</si>
  <si>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</si>
  <si>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</si>
  <si>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</si>
  <si>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</si>
  <si>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</si>
  <si>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</si>
  <si>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</si>
  <si>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</si>
  <si>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</si>
  <si>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</si>
  <si>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</si>
  <si>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</si>
  <si>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Desconto 18% do empregado</t>
  </si>
  <si>
    <t>Quantidade de empregados no posto</t>
  </si>
  <si>
    <t>Valor Total do Posto</t>
  </si>
  <si>
    <t>EQUIPAMENTO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</si>
  <si>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</si>
  <si>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</si>
  <si>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</si>
  <si>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</si>
  <si>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</si>
  <si>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</si>
  <si>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</si>
  <si>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</si>
  <si>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</si>
  <si>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</si>
  <si>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</si>
  <si>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</si>
  <si>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</si>
  <si>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</si>
  <si>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</si>
  <si>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</si>
  <si>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</si>
  <si>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</si>
  <si>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</si>
  <si>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</si>
  <si>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</si>
  <si>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Outros (Especificar)</t>
  </si>
  <si>
    <t>Sapato</t>
  </si>
  <si>
    <t>Valor mensal com rateio / 2</t>
  </si>
  <si>
    <t>UNIFORMES - COMPOSIÇÃO - VALOR ANUAL</t>
  </si>
  <si>
    <t>VIGILANTE NOTURNO - POSTO - 12 (doze) x 36 (trinta e seis) horas.</t>
  </si>
  <si>
    <t>Postos 12 x 36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</si>
  <si>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</si>
  <si>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</si>
  <si>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</si>
  <si>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</si>
  <si>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</si>
  <si>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</si>
  <si>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</si>
  <si>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Férias - Funcionário Substituto</t>
  </si>
  <si>
    <t>Paletó</t>
  </si>
  <si>
    <t>Gravata</t>
  </si>
  <si>
    <t>Calça Social</t>
  </si>
  <si>
    <t>Sobretudo</t>
  </si>
  <si>
    <t>Capa de Chuva</t>
  </si>
  <si>
    <t>Crachá</t>
  </si>
  <si>
    <t>Caneta</t>
  </si>
  <si>
    <t>Cesta Básica Suplementar</t>
  </si>
  <si>
    <t>Reciclagem</t>
  </si>
  <si>
    <t>Outro (Especificar)</t>
  </si>
  <si>
    <t>Custo Anual</t>
  </si>
  <si>
    <t>Participação nos Lucros</t>
  </si>
  <si>
    <t>CAT (CATANDUVA) Rua Santos, 300 - Catanduva/SP  (ISS 4%)</t>
  </si>
  <si>
    <t>SJR (SÃO JOSÉ DO RIO PRETO) Rua Tibiriça, 3518 - S. J. do Rio Preto/SP (ISS 3%)</t>
  </si>
  <si>
    <t>VOT (VOTUPORANGA) Rua Guaporé, 3221 - Votuporanga/SP (ISS 3%)</t>
  </si>
  <si>
    <t>Valor Total Mensal (Catanduva, São José do Rio Preto e Votuporanga)</t>
  </si>
  <si>
    <t>SP000101/2024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</si>
</sst>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8">
    <xf numFmtId="0" fontId="0" fillId="0" borderId="0" xfId="0"/>
    <xf numFmtId="0" fontId="3" fillId="0" borderId="0" xfId="0" applyFont="1" applyAlignment="1">
      <alignment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10" fontId="29" fillId="0" borderId="0" xfId="0" applyNumberFormat="1" applyFont="1"/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165" fontId="23" fillId="3" borderId="20" xfId="2" applyFont="1" applyFill="1" applyBorder="1" applyAlignment="1" applyProtection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10" fontId="3" fillId="4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42" borderId="20" xfId="0" applyFont="1" applyFill="1" applyBorder="1" applyAlignment="1" applyProtection="1">
      <alignment vertical="center" wrapText="1"/>
      <protection locked="0"/>
    </xf>
    <xf numFmtId="4" fontId="3" fillId="42" borderId="3" xfId="0" applyNumberFormat="1" applyFont="1" applyFill="1" applyBorder="1" applyAlignment="1">
      <alignment horizontal="center" vertical="center"/>
    </xf>
    <xf numFmtId="4" fontId="3" fillId="42" borderId="34" xfId="0" applyNumberFormat="1" applyFont="1" applyFill="1" applyBorder="1" applyAlignment="1" applyProtection="1">
      <alignment horizontal="center" vertical="center" wrapText="1"/>
      <protection locked="0"/>
    </xf>
    <xf numFmtId="10" fontId="3" fillId="42" borderId="21" xfId="0" applyNumberFormat="1" applyFont="1" applyFill="1" applyBorder="1" applyAlignment="1">
      <alignment horizontal="center" vertical="center" wrapText="1"/>
    </xf>
    <xf numFmtId="4" fontId="29" fillId="0" borderId="0" xfId="0" applyNumberFormat="1" applyFont="1"/>
    <xf numFmtId="0" fontId="0" fillId="0" borderId="0" xfId="0" applyProtection="1"/>
    <xf numFmtId="0" fontId="0" fillId="0" borderId="0" xfId="0" applyAlignment="1" applyProtection="1">
      <alignment wrapText="1"/>
    </xf>
    <xf numFmtId="0" fontId="25" fillId="39" borderId="34" xfId="0" applyFont="1" applyFill="1" applyBorder="1" applyAlignment="1" applyProtection="1">
      <alignment horizontal="center" vertical="center" wrapText="1"/>
    </xf>
    <xf numFmtId="0" fontId="26" fillId="0" borderId="21" xfId="0" applyFont="1" applyBorder="1" applyAlignment="1" applyProtection="1">
      <alignment horizontal="center" vertical="center" wrapText="1"/>
    </xf>
    <xf numFmtId="0" fontId="27" fillId="0" borderId="34" xfId="0" applyFont="1" applyBorder="1" applyAlignment="1" applyProtection="1">
      <alignment horizontal="center" vertical="center" wrapText="1"/>
    </xf>
    <xf numFmtId="0" fontId="28" fillId="0" borderId="34" xfId="0" applyFont="1" applyBorder="1" applyAlignment="1" applyProtection="1">
      <alignment horizontal="center" vertical="center"/>
    </xf>
    <xf numFmtId="44" fontId="28" fillId="0" borderId="34" xfId="53" applyFont="1" applyBorder="1" applyAlignment="1" applyProtection="1">
      <alignment horizontal="center" vertical="center"/>
    </xf>
    <xf numFmtId="44" fontId="27" fillId="40" borderId="34" xfId="53" applyFont="1" applyFill="1" applyBorder="1" applyAlignment="1" applyProtection="1">
      <alignment horizontal="center" vertical="center"/>
    </xf>
    <xf numFmtId="10" fontId="0" fillId="0" borderId="0" xfId="0" applyNumberFormat="1" applyProtection="1"/>
    <xf numFmtId="44" fontId="26" fillId="0" borderId="34" xfId="53" applyFont="1" applyBorder="1" applyAlignment="1" applyProtection="1">
      <alignment horizontal="center" vertical="center"/>
    </xf>
    <xf numFmtId="9" fontId="26" fillId="39" borderId="19" xfId="0" applyNumberFormat="1" applyFont="1" applyFill="1" applyBorder="1" applyAlignment="1" applyProtection="1">
      <alignment vertical="center"/>
    </xf>
    <xf numFmtId="44" fontId="26" fillId="0" borderId="34" xfId="0" applyNumberFormat="1" applyFont="1" applyBorder="1" applyAlignment="1" applyProtection="1">
      <alignment horizontal="center" vertical="center"/>
    </xf>
    <xf numFmtId="0" fontId="28" fillId="40" borderId="0" xfId="0" applyFont="1" applyFill="1" applyAlignment="1" applyProtection="1">
      <alignment vertical="center"/>
    </xf>
    <xf numFmtId="0" fontId="25" fillId="40" borderId="0" xfId="0" applyFont="1" applyFill="1" applyAlignment="1" applyProtection="1">
      <alignment horizontal="center" vertical="center" wrapText="1"/>
    </xf>
    <xf numFmtId="0" fontId="26" fillId="40" borderId="0" xfId="0" applyFont="1" applyFill="1" applyAlignment="1" applyProtection="1">
      <alignment horizontal="center" vertical="center"/>
    </xf>
    <xf numFmtId="0" fontId="25" fillId="39" borderId="19" xfId="0" applyFont="1" applyFill="1" applyBorder="1" applyAlignment="1" applyProtection="1">
      <alignment horizontal="center" vertical="center" wrapText="1"/>
    </xf>
    <xf numFmtId="0" fontId="26" fillId="0" borderId="48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vertical="center"/>
    </xf>
    <xf numFmtId="44" fontId="26" fillId="0" borderId="0" xfId="0" applyNumberFormat="1" applyFont="1" applyBorder="1" applyAlignment="1" applyProtection="1">
      <alignment horizontal="center" vertical="center"/>
    </xf>
    <xf numFmtId="44" fontId="19" fillId="0" borderId="54" xfId="0" applyNumberFormat="1" applyFont="1" applyBorder="1" applyProtection="1"/>
    <xf numFmtId="44" fontId="0" fillId="0" borderId="0" xfId="0" applyNumberFormat="1" applyProtection="1"/>
    <xf numFmtId="44" fontId="0" fillId="0" borderId="0" xfId="53" applyFont="1" applyProtection="1"/>
    <xf numFmtId="0" fontId="3" fillId="0" borderId="0" xfId="0" applyFont="1" applyProtection="1"/>
    <xf numFmtId="0" fontId="3" fillId="0" borderId="1" xfId="0" applyFont="1" applyBorder="1" applyProtection="1"/>
    <xf numFmtId="10" fontId="3" fillId="0" borderId="0" xfId="0" applyNumberFormat="1" applyFont="1" applyProtection="1"/>
    <xf numFmtId="0" fontId="2" fillId="0" borderId="2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vertical="center" wrapText="1"/>
    </xf>
    <xf numFmtId="4" fontId="3" fillId="0" borderId="34" xfId="0" applyNumberFormat="1" applyFont="1" applyBorder="1" applyAlignment="1" applyProtection="1">
      <alignment horizontal="center" vertical="center" wrapText="1"/>
    </xf>
    <xf numFmtId="4" fontId="2" fillId="0" borderId="34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3" fillId="0" borderId="22" xfId="0" applyFont="1" applyBorder="1" applyAlignment="1" applyProtection="1">
      <alignment vertical="center" wrapText="1"/>
    </xf>
    <xf numFmtId="10" fontId="3" fillId="0" borderId="20" xfId="0" applyNumberFormat="1" applyFont="1" applyBorder="1" applyAlignment="1" applyProtection="1">
      <alignment horizontal="center" vertical="center"/>
    </xf>
    <xf numFmtId="4" fontId="3" fillId="0" borderId="37" xfId="0" applyNumberFormat="1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vertical="center" wrapText="1"/>
    </xf>
    <xf numFmtId="10" fontId="3" fillId="0" borderId="21" xfId="0" applyNumberFormat="1" applyFont="1" applyBorder="1" applyAlignment="1" applyProtection="1">
      <alignment horizontal="center" vertical="center" wrapText="1"/>
    </xf>
    <xf numFmtId="4" fontId="3" fillId="0" borderId="20" xfId="0" applyNumberFormat="1" applyFont="1" applyBorder="1" applyAlignment="1" applyProtection="1">
      <alignment horizontal="center" vertical="center" wrapText="1"/>
    </xf>
    <xf numFmtId="10" fontId="2" fillId="0" borderId="34" xfId="0" applyNumberFormat="1" applyFont="1" applyBorder="1" applyAlignment="1" applyProtection="1">
      <alignment horizontal="center" vertical="center" wrapText="1"/>
    </xf>
    <xf numFmtId="4" fontId="2" fillId="0" borderId="20" xfId="0" applyNumberFormat="1" applyFont="1" applyBorder="1" applyAlignment="1" applyProtection="1">
      <alignment horizontal="center" vertical="center" wrapText="1"/>
    </xf>
    <xf numFmtId="10" fontId="3" fillId="0" borderId="34" xfId="0" applyNumberFormat="1" applyFont="1" applyBorder="1" applyAlignment="1" applyProtection="1">
      <alignment horizontal="center" vertical="center" wrapText="1"/>
    </xf>
    <xf numFmtId="10" fontId="29" fillId="0" borderId="0" xfId="0" applyNumberFormat="1" applyFont="1" applyProtection="1"/>
    <xf numFmtId="4" fontId="3" fillId="0" borderId="3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3" fillId="0" borderId="34" xfId="0" applyFont="1" applyBorder="1" applyAlignment="1" applyProtection="1">
      <alignment horizontal="justify" vertical="center" wrapText="1"/>
    </xf>
    <xf numFmtId="166" fontId="3" fillId="0" borderId="36" xfId="0" applyNumberFormat="1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justify" vertical="center" wrapText="1"/>
    </xf>
    <xf numFmtId="166" fontId="2" fillId="0" borderId="20" xfId="0" applyNumberFormat="1" applyFont="1" applyBorder="1" applyAlignment="1" applyProtection="1">
      <alignment horizontal="center"/>
    </xf>
    <xf numFmtId="166" fontId="3" fillId="0" borderId="34" xfId="0" applyNumberFormat="1" applyFont="1" applyBorder="1" applyAlignment="1" applyProtection="1">
      <alignment horizontal="center" vertical="center" wrapText="1"/>
    </xf>
    <xf numFmtId="166" fontId="2" fillId="0" borderId="34" xfId="0" applyNumberFormat="1" applyFont="1" applyBorder="1" applyAlignment="1" applyProtection="1">
      <alignment horizontal="center" vertical="center" wrapText="1"/>
    </xf>
    <xf numFmtId="0" fontId="29" fillId="0" borderId="0" xfId="0" applyFont="1" applyProtection="1"/>
    <xf numFmtId="44" fontId="29" fillId="0" borderId="0" xfId="53" applyFont="1" applyProtection="1"/>
    <xf numFmtId="44" fontId="3" fillId="0" borderId="34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vertical="center" wrapText="1"/>
    </xf>
    <xf numFmtId="4" fontId="3" fillId="42" borderId="34" xfId="0" applyNumberFormat="1" applyFont="1" applyFill="1" applyBorder="1" applyAlignment="1" applyProtection="1">
      <alignment horizontal="center" vertical="center" wrapText="1"/>
    </xf>
    <xf numFmtId="0" fontId="3" fillId="37" borderId="34" xfId="0" applyFont="1" applyFill="1" applyBorder="1" applyAlignment="1" applyProtection="1">
      <alignment vertical="center" wrapText="1"/>
    </xf>
    <xf numFmtId="4" fontId="3" fillId="37" borderId="34" xfId="0" applyNumberFormat="1" applyFont="1" applyFill="1" applyBorder="1" applyAlignment="1" applyProtection="1">
      <alignment horizontal="center" vertical="center" wrapText="1"/>
    </xf>
    <xf numFmtId="10" fontId="3" fillId="37" borderId="34" xfId="0" applyNumberFormat="1" applyFont="1" applyFill="1" applyBorder="1" applyAlignment="1" applyProtection="1">
      <alignment horizontal="center" vertical="center" wrapText="1"/>
    </xf>
    <xf numFmtId="4" fontId="29" fillId="0" borderId="0" xfId="0" applyNumberFormat="1" applyFont="1" applyProtection="1"/>
    <xf numFmtId="0" fontId="2" fillId="0" borderId="21" xfId="0" applyFont="1" applyBorder="1" applyAlignment="1" applyProtection="1">
      <alignment horizontal="center" vertical="center" wrapText="1"/>
    </xf>
    <xf numFmtId="4" fontId="3" fillId="0" borderId="34" xfId="0" applyNumberFormat="1" applyFont="1" applyBorder="1" applyAlignment="1" applyProtection="1">
      <alignment vertical="center" wrapText="1"/>
    </xf>
    <xf numFmtId="4" fontId="2" fillId="0" borderId="36" xfId="0" applyNumberFormat="1" applyFont="1" applyBorder="1" applyAlignment="1" applyProtection="1">
      <alignment vertical="center" wrapText="1"/>
    </xf>
    <xf numFmtId="4" fontId="2" fillId="0" borderId="45" xfId="0" applyNumberFormat="1" applyFont="1" applyBorder="1" applyAlignment="1" applyProtection="1">
      <alignment vertical="center" wrapText="1"/>
    </xf>
    <xf numFmtId="4" fontId="2" fillId="0" borderId="41" xfId="0" applyNumberFormat="1" applyFont="1" applyBorder="1" applyProtection="1"/>
    <xf numFmtId="0" fontId="3" fillId="42" borderId="20" xfId="0" applyFont="1" applyFill="1" applyBorder="1" applyAlignment="1" applyProtection="1">
      <alignment vertical="center" wrapText="1"/>
    </xf>
    <xf numFmtId="4" fontId="3" fillId="42" borderId="3" xfId="0" applyNumberFormat="1" applyFont="1" applyFill="1" applyBorder="1" applyAlignment="1" applyProtection="1">
      <alignment horizontal="center" vertical="center"/>
    </xf>
    <xf numFmtId="0" fontId="3" fillId="42" borderId="34" xfId="0" applyFont="1" applyFill="1" applyBorder="1" applyAlignment="1" applyProtection="1">
      <alignment vertical="center" wrapText="1"/>
    </xf>
    <xf numFmtId="43" fontId="29" fillId="0" borderId="0" xfId="54" applyNumberFormat="1" applyFont="1" applyProtection="1"/>
    <xf numFmtId="10" fontId="3" fillId="42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Protection="1"/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2" fontId="3" fillId="0" borderId="8" xfId="0" applyNumberFormat="1" applyFont="1" applyBorder="1" applyAlignment="1" applyProtection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</xf>
    <xf numFmtId="0" fontId="0" fillId="0" borderId="32" xfId="0" applyFont="1" applyBorder="1" applyProtection="1"/>
    <xf numFmtId="0" fontId="0" fillId="0" borderId="0" xfId="0" applyFont="1" applyBorder="1" applyProtection="1"/>
    <xf numFmtId="0" fontId="0" fillId="0" borderId="36" xfId="0" applyFont="1" applyBorder="1" applyProtection="1"/>
    <xf numFmtId="9" fontId="3" fillId="0" borderId="8" xfId="1" applyFont="1" applyBorder="1" applyAlignment="1" applyProtection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64" fontId="3" fillId="0" borderId="7" xfId="0" applyNumberFormat="1" applyFont="1" applyBorder="1" applyAlignment="1" applyProtection="1">
      <alignment horizontal="center" vertical="center"/>
    </xf>
    <xf numFmtId="0" fontId="0" fillId="0" borderId="34" xfId="0" applyFont="1" applyBorder="1" applyProtection="1"/>
    <xf numFmtId="164" fontId="0" fillId="0" borderId="0" xfId="0" applyNumberFormat="1" applyFont="1" applyProtection="1"/>
    <xf numFmtId="0" fontId="3" fillId="2" borderId="1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164" fontId="3" fillId="0" borderId="8" xfId="0" applyNumberFormat="1" applyFont="1" applyBorder="1" applyAlignment="1" applyProtection="1">
      <alignment horizontal="center" vertical="center"/>
    </xf>
    <xf numFmtId="10" fontId="0" fillId="0" borderId="0" xfId="0" applyNumberFormat="1" applyFont="1" applyProtection="1"/>
    <xf numFmtId="164" fontId="3" fillId="0" borderId="13" xfId="0" applyNumberFormat="1" applyFont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/>
    </xf>
    <xf numFmtId="0" fontId="3" fillId="42" borderId="53" xfId="0" applyFont="1" applyFill="1" applyBorder="1" applyAlignment="1" applyProtection="1">
      <alignment horizontal="center" vertical="center" wrapText="1"/>
    </xf>
    <xf numFmtId="2" fontId="3" fillId="42" borderId="53" xfId="0" applyNumberFormat="1" applyFont="1" applyFill="1" applyBorder="1" applyAlignment="1" applyProtection="1">
      <alignment horizontal="center" vertical="center"/>
    </xf>
    <xf numFmtId="164" fontId="3" fillId="42" borderId="53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44" fontId="0" fillId="0" borderId="1" xfId="53" applyFont="1" applyBorder="1" applyAlignment="1" applyProtection="1">
      <alignment horizontal="center"/>
    </xf>
    <xf numFmtId="44" fontId="1" fillId="0" borderId="1" xfId="53" applyFont="1" applyBorder="1" applyAlignment="1" applyProtection="1">
      <alignment horizontal="center"/>
    </xf>
    <xf numFmtId="0" fontId="23" fillId="3" borderId="20" xfId="0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4" fontId="23" fillId="0" borderId="35" xfId="53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44" fontId="3" fillId="0" borderId="1" xfId="53" applyFont="1" applyBorder="1" applyAlignment="1" applyProtection="1">
      <alignment horizontal="center"/>
    </xf>
    <xf numFmtId="4" fontId="23" fillId="3" borderId="21" xfId="0" applyNumberFormat="1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3" fillId="3" borderId="12" xfId="0" applyFont="1" applyFill="1" applyBorder="1" applyAlignment="1" applyProtection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44" fontId="0" fillId="41" borderId="1" xfId="53" applyFont="1" applyFill="1" applyBorder="1" applyAlignment="1" applyProtection="1">
      <alignment horizontal="center"/>
      <protection locked="0"/>
    </xf>
    <xf numFmtId="44" fontId="0" fillId="41" borderId="42" xfId="53" applyFont="1" applyFill="1" applyBorder="1" applyAlignment="1" applyProtection="1">
      <alignment horizontal="center"/>
      <protection locked="0"/>
    </xf>
    <xf numFmtId="0" fontId="25" fillId="38" borderId="17" xfId="0" applyFont="1" applyFill="1" applyBorder="1" applyAlignment="1" applyProtection="1">
      <alignment horizontal="center" vertical="center"/>
    </xf>
    <xf numFmtId="0" fontId="25" fillId="38" borderId="18" xfId="0" applyFont="1" applyFill="1" applyBorder="1" applyAlignment="1" applyProtection="1">
      <alignment horizontal="center" vertical="center"/>
    </xf>
    <xf numFmtId="0" fontId="25" fillId="38" borderId="47" xfId="0" applyFont="1" applyFill="1" applyBorder="1" applyAlignment="1" applyProtection="1">
      <alignment horizontal="center" vertical="center"/>
    </xf>
    <xf numFmtId="0" fontId="25" fillId="39" borderId="17" xfId="0" applyFont="1" applyFill="1" applyBorder="1" applyAlignment="1" applyProtection="1">
      <alignment horizontal="center" vertical="center" wrapText="1"/>
    </xf>
    <xf numFmtId="0" fontId="25" fillId="39" borderId="19" xfId="0" applyFont="1" applyFill="1" applyBorder="1" applyAlignment="1" applyProtection="1">
      <alignment horizontal="center" vertical="center" wrapText="1"/>
    </xf>
    <xf numFmtId="0" fontId="26" fillId="0" borderId="38" xfId="0" applyFont="1" applyBorder="1" applyAlignment="1" applyProtection="1">
      <alignment horizontal="center" vertical="center"/>
    </xf>
    <xf numFmtId="0" fontId="26" fillId="0" borderId="21" xfId="0" applyFont="1" applyBorder="1" applyAlignment="1" applyProtection="1">
      <alignment horizontal="center" vertical="center"/>
    </xf>
    <xf numFmtId="0" fontId="26" fillId="39" borderId="17" xfId="0" applyFont="1" applyFill="1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1" xfId="0" applyBorder="1" applyAlignment="1" applyProtection="1"/>
    <xf numFmtId="0" fontId="0" fillId="41" borderId="1" xfId="0" applyFill="1" applyBorder="1" applyAlignment="1" applyProtection="1">
      <alignment wrapText="1"/>
      <protection locked="0"/>
    </xf>
    <xf numFmtId="0" fontId="0" fillId="41" borderId="0" xfId="0" applyFill="1" applyAlignment="1" applyProtection="1">
      <protection locked="0"/>
    </xf>
    <xf numFmtId="0" fontId="25" fillId="39" borderId="18" xfId="0" applyFont="1" applyFill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vertical="center"/>
    </xf>
    <xf numFmtId="0" fontId="26" fillId="0" borderId="18" xfId="0" applyFont="1" applyBorder="1" applyAlignment="1" applyProtection="1">
      <alignment vertical="center"/>
    </xf>
    <xf numFmtId="0" fontId="26" fillId="0" borderId="19" xfId="0" applyFont="1" applyBorder="1" applyAlignment="1" applyProtection="1">
      <alignment vertical="center"/>
    </xf>
    <xf numFmtId="0" fontId="19" fillId="0" borderId="55" xfId="0" applyFont="1" applyBorder="1" applyAlignment="1" applyProtection="1"/>
    <xf numFmtId="0" fontId="19" fillId="0" borderId="56" xfId="0" applyFont="1" applyBorder="1" applyAlignment="1" applyProtection="1"/>
    <xf numFmtId="0" fontId="19" fillId="0" borderId="57" xfId="0" applyFont="1" applyBorder="1" applyAlignment="1" applyProtection="1"/>
    <xf numFmtId="0" fontId="26" fillId="0" borderId="48" xfId="0" applyFont="1" applyBorder="1" applyAlignment="1" applyProtection="1">
      <alignment horizontal="center" vertical="center"/>
    </xf>
    <xf numFmtId="0" fontId="2" fillId="35" borderId="0" xfId="0" applyFont="1" applyFill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4" fillId="36" borderId="0" xfId="0" applyFont="1" applyFill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center"/>
    </xf>
    <xf numFmtId="0" fontId="22" fillId="0" borderId="0" xfId="0" applyFont="1" applyAlignment="1" applyProtection="1">
      <alignment horizontal="center" vertical="center"/>
    </xf>
    <xf numFmtId="0" fontId="2" fillId="35" borderId="0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2" fillId="0" borderId="43" xfId="0" applyFont="1" applyBorder="1" applyAlignment="1" applyProtection="1">
      <alignment horizontal="center"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37" borderId="17" xfId="0" applyFont="1" applyFill="1" applyBorder="1" applyAlignment="1" applyProtection="1">
      <alignment horizontal="center" vertical="center" wrapText="1"/>
    </xf>
    <xf numFmtId="0" fontId="2" fillId="37" borderId="19" xfId="0" applyFont="1" applyFill="1" applyBorder="1" applyAlignment="1" applyProtection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44" fontId="1" fillId="0" borderId="42" xfId="53" applyFont="1" applyBorder="1" applyAlignment="1" applyProtection="1">
      <alignment horizontal="center" vertical="center"/>
    </xf>
    <xf numFmtId="44" fontId="1" fillId="0" borderId="46" xfId="53" applyFont="1" applyBorder="1" applyAlignment="1" applyProtection="1">
      <alignment horizontal="center" vertical="center"/>
    </xf>
    <xf numFmtId="44" fontId="1" fillId="0" borderId="39" xfId="53" applyFont="1" applyBorder="1" applyAlignment="1" applyProtection="1">
      <alignment horizontal="center" vertical="center"/>
    </xf>
    <xf numFmtId="0" fontId="23" fillId="3" borderId="33" xfId="0" applyFont="1" applyFill="1" applyBorder="1" applyAlignment="1" applyProtection="1">
      <alignment horizontal="center" vertical="center"/>
    </xf>
    <xf numFmtId="0" fontId="23" fillId="3" borderId="22" xfId="0" applyFont="1" applyFill="1" applyBorder="1" applyAlignment="1" applyProtection="1">
      <alignment horizontal="center" vertical="center"/>
    </xf>
    <xf numFmtId="0" fontId="23" fillId="3" borderId="34" xfId="0" applyFont="1" applyFill="1" applyBorder="1" applyAlignment="1" applyProtection="1">
      <alignment horizontal="center" vertical="center"/>
    </xf>
    <xf numFmtId="0" fontId="23" fillId="3" borderId="17" xfId="0" applyFont="1" applyFill="1" applyBorder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horizontal="center" vertical="center"/>
    </xf>
    <xf numFmtId="0" fontId="23" fillId="3" borderId="19" xfId="0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center" vertical="center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3" fillId="2" borderId="50" xfId="0" applyFont="1" applyFill="1" applyBorder="1" applyAlignment="1" applyProtection="1">
      <alignment horizontal="center" vertical="center"/>
    </xf>
    <xf numFmtId="0" fontId="3" fillId="2" borderId="51" xfId="0" applyFont="1" applyFill="1" applyBorder="1" applyAlignment="1" applyProtection="1">
      <alignment horizontal="center" vertical="center"/>
    </xf>
    <xf numFmtId="0" fontId="3" fillId="2" borderId="5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8"/>
  <sheetViews>
    <sheetView tabSelected="1" topLeftCell="A10" workbookViewId="0">
      <selection activeCell="C24" sqref="C24:F24"/>
    </sheetView>
  </sheetViews>
  <sheetFormatPr defaultRowHeight="14.4" x14ac:dyDescent="0.3"/>
  <cols>
    <col min="1" max="1" width="8.88671875" style="60"/>
    <col min="2" max="2" width="7.33203125" style="60" bestFit="1" customWidth="1"/>
    <col min="3" max="3" width="28.5546875" style="60" bestFit="1" customWidth="1"/>
    <col min="4" max="4" width="17.44140625" style="60" bestFit="1" customWidth="1"/>
    <col min="5" max="5" width="8.109375" style="60" bestFit="1" customWidth="1"/>
    <col min="6" max="6" width="14.44140625" style="60" customWidth="1"/>
    <col min="7" max="7" width="18.88671875" style="60" customWidth="1"/>
    <col min="8" max="10" width="8.88671875" style="60"/>
    <col min="11" max="12" width="14" style="60" bestFit="1" customWidth="1"/>
    <col min="13" max="13" width="12.88671875" style="60" bestFit="1" customWidth="1"/>
    <col min="14" max="14" width="14" style="60" bestFit="1" customWidth="1"/>
    <col min="15" max="16384" width="8.88671875" style="60"/>
  </cols>
  <sheetData>
    <row r="2" spans="2:9" ht="28.5" customHeight="1" x14ac:dyDescent="0.3">
      <c r="B2" s="186" t="s">
        <v>147</v>
      </c>
      <c r="C2" s="186"/>
      <c r="D2" s="187"/>
      <c r="E2" s="187"/>
      <c r="F2" s="187"/>
      <c r="G2" s="187"/>
    </row>
    <row r="3" spans="2:9" ht="28.5" customHeight="1" x14ac:dyDescent="0.3">
      <c r="B3" s="186" t="s">
        <v>148</v>
      </c>
      <c r="C3" s="186"/>
      <c r="D3" s="187"/>
      <c r="E3" s="187"/>
      <c r="F3" s="187"/>
      <c r="G3" s="187"/>
    </row>
    <row r="4" spans="2:9" ht="28.5" customHeight="1" x14ac:dyDescent="0.3">
      <c r="B4" s="186" t="s">
        <v>149</v>
      </c>
      <c r="C4" s="186"/>
      <c r="D4" s="187"/>
      <c r="E4" s="187"/>
      <c r="F4" s="187"/>
      <c r="G4" s="187"/>
    </row>
    <row r="5" spans="2:9" ht="15" thickBot="1" x14ac:dyDescent="0.35"/>
    <row r="6" spans="2:9" ht="15" thickBot="1" x14ac:dyDescent="0.35">
      <c r="B6" s="177" t="s">
        <v>127</v>
      </c>
      <c r="C6" s="178"/>
      <c r="D6" s="178"/>
      <c r="E6" s="178"/>
      <c r="F6" s="178"/>
      <c r="G6" s="179"/>
      <c r="H6" s="61"/>
    </row>
    <row r="7" spans="2:9" ht="15" thickBot="1" x14ac:dyDescent="0.35">
      <c r="B7" s="177"/>
      <c r="C7" s="178"/>
      <c r="D7" s="178"/>
      <c r="E7" s="178"/>
      <c r="F7" s="178"/>
      <c r="G7" s="179"/>
      <c r="H7" s="61"/>
    </row>
    <row r="8" spans="2:9" ht="21" thickBot="1" x14ac:dyDescent="0.35">
      <c r="B8" s="180" t="s">
        <v>128</v>
      </c>
      <c r="C8" s="181"/>
      <c r="D8" s="62" t="s">
        <v>129</v>
      </c>
      <c r="E8" s="62" t="s">
        <v>130</v>
      </c>
      <c r="F8" s="62" t="s">
        <v>131</v>
      </c>
      <c r="G8" s="62" t="s">
        <v>132</v>
      </c>
      <c r="H8" s="61"/>
    </row>
    <row r="9" spans="2:9" ht="32.4" customHeight="1" thickBot="1" x14ac:dyDescent="0.35">
      <c r="B9" s="182">
        <v>1</v>
      </c>
      <c r="C9" s="63" t="s">
        <v>165</v>
      </c>
      <c r="D9" s="64" t="s">
        <v>133</v>
      </c>
      <c r="E9" s="65">
        <v>1</v>
      </c>
      <c r="F9" s="66">
        <f>'Posto 12x36 diurno ISS 4%'!C140+'Posto 12x36 noturno ISS 4%'!C142</f>
        <v>35129.575634530942</v>
      </c>
      <c r="G9" s="67">
        <f t="shared" ref="G9" si="0">E9*F9</f>
        <v>35129.575634530942</v>
      </c>
      <c r="H9" s="61"/>
      <c r="I9" s="68"/>
    </row>
    <row r="10" spans="2:9" ht="15" thickBot="1" x14ac:dyDescent="0.35">
      <c r="B10" s="182"/>
      <c r="C10" s="180" t="s">
        <v>134</v>
      </c>
      <c r="D10" s="189"/>
      <c r="E10" s="189"/>
      <c r="F10" s="181"/>
      <c r="G10" s="69">
        <f>SUM(G9:G9)</f>
        <v>35129.575634530942</v>
      </c>
      <c r="H10" s="61"/>
    </row>
    <row r="11" spans="2:9" ht="15" thickBot="1" x14ac:dyDescent="0.35">
      <c r="B11" s="182"/>
      <c r="C11" s="184" t="s">
        <v>136</v>
      </c>
      <c r="D11" s="185"/>
      <c r="E11" s="185"/>
      <c r="F11" s="70">
        <v>0.2</v>
      </c>
      <c r="G11" s="71">
        <f>F11*G10</f>
        <v>7025.9151269061886</v>
      </c>
      <c r="H11" s="61"/>
    </row>
    <row r="12" spans="2:9" ht="15" thickBot="1" x14ac:dyDescent="0.35">
      <c r="B12" s="183"/>
      <c r="C12" s="190" t="s">
        <v>135</v>
      </c>
      <c r="D12" s="191"/>
      <c r="E12" s="191"/>
      <c r="F12" s="192"/>
      <c r="G12" s="71">
        <f>G11+G10</f>
        <v>42155.490761437133</v>
      </c>
      <c r="H12" s="61"/>
    </row>
    <row r="13" spans="2:9" ht="15" thickBot="1" x14ac:dyDescent="0.35">
      <c r="B13" s="72"/>
      <c r="C13" s="73"/>
      <c r="D13" s="73"/>
      <c r="E13" s="73"/>
      <c r="F13" s="73"/>
      <c r="G13" s="74"/>
      <c r="H13" s="61"/>
    </row>
    <row r="14" spans="2:9" ht="21" thickBot="1" x14ac:dyDescent="0.35">
      <c r="B14" s="180" t="s">
        <v>128</v>
      </c>
      <c r="C14" s="181"/>
      <c r="D14" s="75" t="s">
        <v>129</v>
      </c>
      <c r="E14" s="75" t="s">
        <v>130</v>
      </c>
      <c r="F14" s="75" t="s">
        <v>131</v>
      </c>
      <c r="G14" s="75" t="s">
        <v>132</v>
      </c>
      <c r="H14" s="61"/>
    </row>
    <row r="15" spans="2:9" ht="31.2" thickBot="1" x14ac:dyDescent="0.35">
      <c r="B15" s="196">
        <v>2</v>
      </c>
      <c r="C15" s="76" t="s">
        <v>166</v>
      </c>
      <c r="D15" s="64" t="s">
        <v>133</v>
      </c>
      <c r="E15" s="65">
        <v>2</v>
      </c>
      <c r="F15" s="66">
        <f>'Posto 12x36 diurno ISS 3%'!C140+'Posto 12x36 noturno ISS 3%'!C142</f>
        <v>34753.25452435921</v>
      </c>
      <c r="G15" s="67">
        <f>E15*F15</f>
        <v>69506.509048718421</v>
      </c>
      <c r="H15" s="61"/>
    </row>
    <row r="16" spans="2:9" ht="15" thickBot="1" x14ac:dyDescent="0.35">
      <c r="B16" s="182"/>
      <c r="C16" s="180" t="s">
        <v>134</v>
      </c>
      <c r="D16" s="189"/>
      <c r="E16" s="189"/>
      <c r="F16" s="181"/>
      <c r="G16" s="69">
        <f>SUM(G15:G15)</f>
        <v>69506.509048718421</v>
      </c>
      <c r="H16" s="61"/>
    </row>
    <row r="17" spans="2:14" ht="15" thickBot="1" x14ac:dyDescent="0.35">
      <c r="B17" s="182"/>
      <c r="C17" s="184" t="s">
        <v>136</v>
      </c>
      <c r="D17" s="185"/>
      <c r="E17" s="185"/>
      <c r="F17" s="70">
        <v>0.2</v>
      </c>
      <c r="G17" s="71">
        <f>F17*G16</f>
        <v>13901.301809743685</v>
      </c>
      <c r="H17" s="61"/>
    </row>
    <row r="18" spans="2:14" ht="15" thickBot="1" x14ac:dyDescent="0.35">
      <c r="B18" s="183"/>
      <c r="C18" s="190" t="s">
        <v>135</v>
      </c>
      <c r="D18" s="191"/>
      <c r="E18" s="191"/>
      <c r="F18" s="192"/>
      <c r="G18" s="71">
        <f>G17+G16</f>
        <v>83407.810858462108</v>
      </c>
      <c r="H18" s="61"/>
    </row>
    <row r="19" spans="2:14" ht="15" thickBot="1" x14ac:dyDescent="0.35">
      <c r="B19" s="77"/>
      <c r="C19" s="78"/>
      <c r="D19" s="78"/>
      <c r="E19" s="78"/>
      <c r="F19" s="78"/>
      <c r="G19" s="79"/>
      <c r="H19" s="61"/>
    </row>
    <row r="20" spans="2:14" ht="21" thickBot="1" x14ac:dyDescent="0.35">
      <c r="B20" s="180" t="s">
        <v>128</v>
      </c>
      <c r="C20" s="181"/>
      <c r="D20" s="75" t="s">
        <v>129</v>
      </c>
      <c r="E20" s="75" t="s">
        <v>130</v>
      </c>
      <c r="F20" s="75" t="s">
        <v>131</v>
      </c>
      <c r="G20" s="75" t="s">
        <v>132</v>
      </c>
      <c r="H20" s="61"/>
    </row>
    <row r="21" spans="2:14" ht="31.2" thickBot="1" x14ac:dyDescent="0.35">
      <c r="B21" s="196">
        <v>3</v>
      </c>
      <c r="C21" s="76" t="s">
        <v>167</v>
      </c>
      <c r="D21" s="64" t="s">
        <v>133</v>
      </c>
      <c r="E21" s="65">
        <v>1</v>
      </c>
      <c r="F21" s="66">
        <f>'Posto 12x36 diurno ISS 3%'!C140+'Posto 12x36 noturno ISS 3%'!C142</f>
        <v>34753.25452435921</v>
      </c>
      <c r="G21" s="67">
        <f>E21*F21</f>
        <v>34753.25452435921</v>
      </c>
      <c r="H21" s="61"/>
    </row>
    <row r="22" spans="2:14" ht="15" thickBot="1" x14ac:dyDescent="0.35">
      <c r="B22" s="182"/>
      <c r="C22" s="180" t="s">
        <v>134</v>
      </c>
      <c r="D22" s="189"/>
      <c r="E22" s="189"/>
      <c r="F22" s="181"/>
      <c r="G22" s="69">
        <f>SUM(G21:G21)</f>
        <v>34753.25452435921</v>
      </c>
      <c r="H22" s="61"/>
    </row>
    <row r="23" spans="2:14" ht="15" thickBot="1" x14ac:dyDescent="0.35">
      <c r="B23" s="182"/>
      <c r="C23" s="184" t="s">
        <v>136</v>
      </c>
      <c r="D23" s="185"/>
      <c r="E23" s="185"/>
      <c r="F23" s="70">
        <v>0.2</v>
      </c>
      <c r="G23" s="71">
        <f>F23*G22</f>
        <v>6950.6509048718426</v>
      </c>
      <c r="H23" s="61"/>
    </row>
    <row r="24" spans="2:14" ht="15" thickBot="1" x14ac:dyDescent="0.35">
      <c r="B24" s="183"/>
      <c r="C24" s="190" t="s">
        <v>135</v>
      </c>
      <c r="D24" s="191"/>
      <c r="E24" s="191"/>
      <c r="F24" s="192"/>
      <c r="G24" s="71">
        <f>G23+G22</f>
        <v>41703.905429231054</v>
      </c>
      <c r="H24" s="61"/>
    </row>
    <row r="25" spans="2:14" x14ac:dyDescent="0.3">
      <c r="B25" s="77"/>
      <c r="C25" s="78"/>
      <c r="D25" s="78"/>
      <c r="E25" s="78"/>
      <c r="F25" s="78"/>
      <c r="G25" s="79"/>
      <c r="H25" s="61"/>
    </row>
    <row r="26" spans="2:14" x14ac:dyDescent="0.3">
      <c r="B26" s="77"/>
      <c r="C26" s="78"/>
      <c r="D26" s="78"/>
      <c r="E26" s="78"/>
      <c r="F26" s="78"/>
      <c r="G26" s="79"/>
      <c r="H26" s="61"/>
    </row>
    <row r="27" spans="2:14" ht="15" thickBot="1" x14ac:dyDescent="0.35">
      <c r="H27" s="61"/>
    </row>
    <row r="28" spans="2:14" ht="15.6" thickTop="1" thickBot="1" x14ac:dyDescent="0.35">
      <c r="B28" s="193" t="s">
        <v>168</v>
      </c>
      <c r="C28" s="194"/>
      <c r="D28" s="194"/>
      <c r="E28" s="194"/>
      <c r="F28" s="195"/>
      <c r="G28" s="80">
        <f>G12+G18+G24</f>
        <v>167267.20704913029</v>
      </c>
      <c r="H28" s="61"/>
    </row>
    <row r="29" spans="2:14" ht="15" thickTop="1" x14ac:dyDescent="0.3">
      <c r="B29" s="77"/>
      <c r="C29" s="78"/>
      <c r="D29" s="78"/>
      <c r="E29" s="78"/>
      <c r="F29" s="78"/>
      <c r="G29" s="79"/>
      <c r="H29" s="61"/>
    </row>
    <row r="30" spans="2:14" x14ac:dyDescent="0.3">
      <c r="B30" s="77"/>
      <c r="C30" s="78"/>
      <c r="D30" s="78"/>
      <c r="E30" s="78"/>
      <c r="F30" s="78"/>
      <c r="G30" s="79"/>
      <c r="H30" s="61"/>
      <c r="K30" s="81"/>
      <c r="L30" s="82"/>
      <c r="M30" s="81"/>
      <c r="N30" s="81"/>
    </row>
    <row r="31" spans="2:14" x14ac:dyDescent="0.3">
      <c r="B31" s="77"/>
      <c r="C31" s="78"/>
      <c r="D31" s="78"/>
      <c r="E31" s="78"/>
      <c r="F31" s="78"/>
      <c r="G31" s="79"/>
      <c r="H31" s="61"/>
      <c r="K31" s="81"/>
      <c r="L31" s="82"/>
      <c r="M31" s="81"/>
      <c r="N31" s="81"/>
    </row>
    <row r="32" spans="2:14" x14ac:dyDescent="0.3">
      <c r="K32" s="81"/>
      <c r="L32" s="82"/>
      <c r="M32" s="81"/>
      <c r="N32" s="81"/>
    </row>
    <row r="33" spans="2:14" x14ac:dyDescent="0.3">
      <c r="G33" s="82"/>
      <c r="K33" s="81"/>
      <c r="L33" s="82"/>
      <c r="M33" s="81"/>
      <c r="N33" s="82"/>
    </row>
    <row r="35" spans="2:14" x14ac:dyDescent="0.3">
      <c r="B35" s="188" t="s">
        <v>150</v>
      </c>
      <c r="C35" s="188"/>
      <c r="D35" s="188"/>
      <c r="E35" s="188"/>
      <c r="F35" s="188"/>
      <c r="G35" s="188"/>
      <c r="N35" s="81"/>
    </row>
    <row r="36" spans="2:14" x14ac:dyDescent="0.3">
      <c r="N36" s="81"/>
    </row>
    <row r="37" spans="2:14" x14ac:dyDescent="0.3">
      <c r="N37" s="81"/>
    </row>
    <row r="38" spans="2:14" x14ac:dyDescent="0.3">
      <c r="C38" s="60" t="s">
        <v>151</v>
      </c>
    </row>
  </sheetData>
  <sheetProtection password="CDE0" sheet="1" objects="1" scenarios="1"/>
  <dataConsolidate/>
  <mergeCells count="25">
    <mergeCell ref="B35:G35"/>
    <mergeCell ref="C10:F10"/>
    <mergeCell ref="C12:F12"/>
    <mergeCell ref="C18:F18"/>
    <mergeCell ref="C24:F24"/>
    <mergeCell ref="B28:F28"/>
    <mergeCell ref="B15:B18"/>
    <mergeCell ref="C16:F16"/>
    <mergeCell ref="C17:E17"/>
    <mergeCell ref="B20:C20"/>
    <mergeCell ref="B21:B24"/>
    <mergeCell ref="C22:F22"/>
    <mergeCell ref="C23:E23"/>
    <mergeCell ref="B2:C2"/>
    <mergeCell ref="B3:C3"/>
    <mergeCell ref="B4:C4"/>
    <mergeCell ref="D2:G2"/>
    <mergeCell ref="D3:G3"/>
    <mergeCell ref="D4:G4"/>
    <mergeCell ref="B6:G6"/>
    <mergeCell ref="B8:C8"/>
    <mergeCell ref="B9:B12"/>
    <mergeCell ref="C11:E11"/>
    <mergeCell ref="B14:C14"/>
    <mergeCell ref="B7:G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showGridLines="0" topLeftCell="A37" workbookViewId="0">
      <selection activeCell="E46" sqref="E46"/>
    </sheetView>
  </sheetViews>
  <sheetFormatPr defaultColWidth="9.109375" defaultRowHeight="15.6" x14ac:dyDescent="0.3"/>
  <cols>
    <col min="1" max="1" width="16.33203125" style="83" customWidth="1"/>
    <col min="2" max="2" width="72.109375" style="83" customWidth="1"/>
    <col min="3" max="3" width="18" style="83" customWidth="1"/>
    <col min="4" max="4" width="14.33203125" style="83" customWidth="1"/>
    <col min="5" max="5" width="12.6640625" style="83" customWidth="1"/>
    <col min="6" max="6" width="14" style="83" bestFit="1" customWidth="1"/>
    <col min="7" max="7" width="15.109375" style="83" customWidth="1"/>
    <col min="8" max="16384" width="9.109375" style="83"/>
  </cols>
  <sheetData>
    <row r="1" spans="1:5" ht="22.8" x14ac:dyDescent="0.4">
      <c r="A1" s="203" t="s">
        <v>98</v>
      </c>
      <c r="B1" s="203"/>
      <c r="C1" s="203"/>
      <c r="D1" s="203"/>
    </row>
    <row r="2" spans="1:5" ht="22.8" x14ac:dyDescent="0.4">
      <c r="A2" s="203" t="s">
        <v>99</v>
      </c>
      <c r="B2" s="203"/>
      <c r="C2" s="203"/>
      <c r="D2" s="203"/>
    </row>
    <row r="3" spans="1:5" ht="27.75" customHeight="1" x14ac:dyDescent="0.3">
      <c r="A3" s="205"/>
      <c r="B3" s="205"/>
      <c r="C3" s="205"/>
      <c r="D3" s="205"/>
    </row>
    <row r="4" spans="1:5" x14ac:dyDescent="0.3">
      <c r="A4" s="84" t="s">
        <v>107</v>
      </c>
      <c r="B4" s="207" t="s">
        <v>169</v>
      </c>
      <c r="C4" s="207"/>
    </row>
    <row r="5" spans="1:5" x14ac:dyDescent="0.3">
      <c r="A5" s="84" t="s">
        <v>108</v>
      </c>
      <c r="B5" s="207" t="s">
        <v>137</v>
      </c>
      <c r="C5" s="207"/>
      <c r="E5" s="85"/>
    </row>
    <row r="6" spans="1:5" x14ac:dyDescent="0.3">
      <c r="A6" s="84"/>
      <c r="B6" s="207"/>
      <c r="C6" s="207"/>
    </row>
    <row r="7" spans="1:5" x14ac:dyDescent="0.3">
      <c r="A7" s="204" t="s">
        <v>33</v>
      </c>
      <c r="B7" s="204"/>
      <c r="C7" s="204"/>
    </row>
    <row r="8" spans="1:5" ht="16.2" thickBot="1" x14ac:dyDescent="0.35"/>
    <row r="9" spans="1:5" ht="16.2" thickBot="1" x14ac:dyDescent="0.35">
      <c r="A9" s="86">
        <v>1</v>
      </c>
      <c r="B9" s="87" t="s">
        <v>34</v>
      </c>
      <c r="C9" s="87" t="s">
        <v>35</v>
      </c>
    </row>
    <row r="10" spans="1:5" ht="16.2" thickBot="1" x14ac:dyDescent="0.35">
      <c r="A10" s="88" t="s">
        <v>36</v>
      </c>
      <c r="B10" s="89" t="s">
        <v>37</v>
      </c>
      <c r="C10" s="90">
        <v>2045.92</v>
      </c>
    </row>
    <row r="11" spans="1:5" ht="16.2" thickBot="1" x14ac:dyDescent="0.35">
      <c r="A11" s="88" t="s">
        <v>38</v>
      </c>
      <c r="B11" s="89" t="s">
        <v>112</v>
      </c>
      <c r="C11" s="90">
        <f>C10*0.3</f>
        <v>613.77599999999995</v>
      </c>
    </row>
    <row r="12" spans="1:5" ht="16.2" thickBot="1" x14ac:dyDescent="0.35">
      <c r="A12" s="201" t="s">
        <v>5</v>
      </c>
      <c r="B12" s="202"/>
      <c r="C12" s="91">
        <f>SUM(C10:C11)</f>
        <v>2659.6959999999999</v>
      </c>
    </row>
    <row r="15" spans="1:5" x14ac:dyDescent="0.3">
      <c r="A15" s="200" t="s">
        <v>46</v>
      </c>
      <c r="B15" s="200"/>
      <c r="C15" s="200"/>
    </row>
    <row r="16" spans="1:5" x14ac:dyDescent="0.3">
      <c r="A16" s="92"/>
    </row>
    <row r="17" spans="1:4" x14ac:dyDescent="0.3">
      <c r="A17" s="197" t="s">
        <v>47</v>
      </c>
      <c r="B17" s="197"/>
      <c r="C17" s="197"/>
    </row>
    <row r="18" spans="1:4" ht="16.2" thickBot="1" x14ac:dyDescent="0.35"/>
    <row r="19" spans="1:4" ht="16.2" thickBot="1" x14ac:dyDescent="0.35">
      <c r="A19" s="86" t="s">
        <v>48</v>
      </c>
      <c r="B19" s="87" t="s">
        <v>49</v>
      </c>
      <c r="C19" s="87" t="s">
        <v>55</v>
      </c>
      <c r="D19" s="87" t="s">
        <v>35</v>
      </c>
    </row>
    <row r="20" spans="1:4" ht="16.2" thickBot="1" x14ac:dyDescent="0.35">
      <c r="A20" s="88" t="s">
        <v>36</v>
      </c>
      <c r="B20" s="93" t="s">
        <v>50</v>
      </c>
      <c r="C20" s="94">
        <v>8.3299999999999999E-2</v>
      </c>
      <c r="D20" s="95">
        <f>C$12*C20</f>
        <v>221.5526768</v>
      </c>
    </row>
    <row r="21" spans="1:4" ht="16.2" thickBot="1" x14ac:dyDescent="0.35">
      <c r="A21" s="88" t="s">
        <v>38</v>
      </c>
      <c r="B21" s="96" t="s">
        <v>51</v>
      </c>
      <c r="C21" s="97">
        <v>0.121</v>
      </c>
      <c r="D21" s="98">
        <f>C$12*C21</f>
        <v>321.823216</v>
      </c>
    </row>
    <row r="22" spans="1:4" ht="16.2" thickBot="1" x14ac:dyDescent="0.35">
      <c r="A22" s="198" t="s">
        <v>5</v>
      </c>
      <c r="B22" s="199"/>
      <c r="C22" s="99">
        <f>SUM(C20:C21)</f>
        <v>0.20429999999999998</v>
      </c>
      <c r="D22" s="100">
        <f>C$12*C22</f>
        <v>543.37589279999997</v>
      </c>
    </row>
    <row r="25" spans="1:4" ht="32.25" customHeight="1" x14ac:dyDescent="0.3">
      <c r="A25" s="206" t="s">
        <v>52</v>
      </c>
      <c r="B25" s="206"/>
      <c r="C25" s="206"/>
      <c r="D25" s="206"/>
    </row>
    <row r="26" spans="1:4" ht="16.2" thickBot="1" x14ac:dyDescent="0.35"/>
    <row r="27" spans="1:4" ht="16.2" thickBot="1" x14ac:dyDescent="0.35">
      <c r="A27" s="86" t="s">
        <v>53</v>
      </c>
      <c r="B27" s="87" t="s">
        <v>54</v>
      </c>
      <c r="C27" s="87" t="s">
        <v>55</v>
      </c>
      <c r="D27" s="87" t="s">
        <v>35</v>
      </c>
    </row>
    <row r="28" spans="1:4" ht="16.2" thickBot="1" x14ac:dyDescent="0.35">
      <c r="A28" s="88" t="s">
        <v>36</v>
      </c>
      <c r="B28" s="89" t="s">
        <v>56</v>
      </c>
      <c r="C28" s="101">
        <v>0.2</v>
      </c>
      <c r="D28" s="98">
        <f t="shared" ref="D28:D36" si="0">(D$22+C$12)*C28</f>
        <v>640.61437855999998</v>
      </c>
    </row>
    <row r="29" spans="1:4" ht="16.2" thickBot="1" x14ac:dyDescent="0.35">
      <c r="A29" s="88" t="s">
        <v>38</v>
      </c>
      <c r="B29" s="89" t="s">
        <v>57</v>
      </c>
      <c r="C29" s="101">
        <v>2.5000000000000001E-2</v>
      </c>
      <c r="D29" s="98">
        <f t="shared" si="0"/>
        <v>80.076797319999997</v>
      </c>
    </row>
    <row r="30" spans="1:4" ht="16.2" thickBot="1" x14ac:dyDescent="0.35">
      <c r="A30" s="88" t="s">
        <v>39</v>
      </c>
      <c r="B30" s="89" t="s">
        <v>58</v>
      </c>
      <c r="C30" s="46">
        <v>0.03</v>
      </c>
      <c r="D30" s="98">
        <f t="shared" si="0"/>
        <v>96.092156783999982</v>
      </c>
    </row>
    <row r="31" spans="1:4" ht="16.2" thickBot="1" x14ac:dyDescent="0.35">
      <c r="A31" s="88" t="s">
        <v>40</v>
      </c>
      <c r="B31" s="89" t="s">
        <v>59</v>
      </c>
      <c r="C31" s="101">
        <v>1.4999999999999999E-2</v>
      </c>
      <c r="D31" s="98">
        <f t="shared" si="0"/>
        <v>48.046078391999991</v>
      </c>
    </row>
    <row r="32" spans="1:4" ht="16.2" thickBot="1" x14ac:dyDescent="0.35">
      <c r="A32" s="88" t="s">
        <v>41</v>
      </c>
      <c r="B32" s="89" t="s">
        <v>60</v>
      </c>
      <c r="C32" s="101">
        <v>0.01</v>
      </c>
      <c r="D32" s="98">
        <f t="shared" si="0"/>
        <v>32.030718927999999</v>
      </c>
    </row>
    <row r="33" spans="1:5" ht="16.2" thickBot="1" x14ac:dyDescent="0.35">
      <c r="A33" s="88" t="s">
        <v>43</v>
      </c>
      <c r="B33" s="89" t="s">
        <v>6</v>
      </c>
      <c r="C33" s="101">
        <v>6.0000000000000001E-3</v>
      </c>
      <c r="D33" s="98">
        <f t="shared" si="0"/>
        <v>19.2184313568</v>
      </c>
    </row>
    <row r="34" spans="1:5" ht="16.2" thickBot="1" x14ac:dyDescent="0.35">
      <c r="A34" s="88" t="s">
        <v>44</v>
      </c>
      <c r="B34" s="89" t="s">
        <v>7</v>
      </c>
      <c r="C34" s="101">
        <v>2E-3</v>
      </c>
      <c r="D34" s="98">
        <f t="shared" si="0"/>
        <v>6.4061437855999994</v>
      </c>
    </row>
    <row r="35" spans="1:5" ht="16.2" thickBot="1" x14ac:dyDescent="0.35">
      <c r="A35" s="88" t="s">
        <v>61</v>
      </c>
      <c r="B35" s="89" t="s">
        <v>8</v>
      </c>
      <c r="C35" s="101">
        <v>0.08</v>
      </c>
      <c r="D35" s="98">
        <f t="shared" si="0"/>
        <v>256.24575142399999</v>
      </c>
    </row>
    <row r="36" spans="1:5" ht="16.2" thickBot="1" x14ac:dyDescent="0.35">
      <c r="A36" s="198" t="s">
        <v>62</v>
      </c>
      <c r="B36" s="199"/>
      <c r="C36" s="101">
        <f>SUM(C28:C35)</f>
        <v>0.36800000000000005</v>
      </c>
      <c r="D36" s="98">
        <f t="shared" si="0"/>
        <v>1178.7304565504</v>
      </c>
      <c r="E36" s="102">
        <f>C36*C22</f>
        <v>7.5182399999999996E-2</v>
      </c>
    </row>
    <row r="39" spans="1:5" x14ac:dyDescent="0.3">
      <c r="A39" s="197" t="s">
        <v>63</v>
      </c>
      <c r="B39" s="197"/>
      <c r="C39" s="197"/>
    </row>
    <row r="40" spans="1:5" ht="16.2" thickBot="1" x14ac:dyDescent="0.35"/>
    <row r="41" spans="1:5" ht="16.2" thickBot="1" x14ac:dyDescent="0.35">
      <c r="A41" s="86" t="s">
        <v>64</v>
      </c>
      <c r="B41" s="87" t="s">
        <v>65</v>
      </c>
      <c r="C41" s="87" t="s">
        <v>35</v>
      </c>
    </row>
    <row r="42" spans="1:5" ht="16.2" thickBot="1" x14ac:dyDescent="0.35">
      <c r="A42" s="88" t="s">
        <v>36</v>
      </c>
      <c r="B42" s="89" t="s">
        <v>66</v>
      </c>
      <c r="C42" s="103">
        <f>'Planilha de Apoio - P 12 x 36'!D14</f>
        <v>75.104800000000012</v>
      </c>
    </row>
    <row r="43" spans="1:5" ht="16.2" thickBot="1" x14ac:dyDescent="0.35">
      <c r="A43" s="88" t="s">
        <v>38</v>
      </c>
      <c r="B43" s="89" t="s">
        <v>109</v>
      </c>
      <c r="C43" s="90">
        <f>'Planilha de Apoio - P 12 x 36'!D21</f>
        <v>461.77480000000003</v>
      </c>
    </row>
    <row r="44" spans="1:5" ht="16.2" thickBot="1" x14ac:dyDescent="0.35">
      <c r="A44" s="88" t="s">
        <v>39</v>
      </c>
      <c r="B44" s="89" t="s">
        <v>122</v>
      </c>
      <c r="C44" s="47">
        <v>20</v>
      </c>
    </row>
    <row r="45" spans="1:5" ht="16.2" thickBot="1" x14ac:dyDescent="0.35">
      <c r="A45" s="104" t="s">
        <v>40</v>
      </c>
      <c r="B45" s="105" t="s">
        <v>138</v>
      </c>
      <c r="C45" s="117">
        <f>'Planilha de Apoio - P 12 x 36'!D25</f>
        <v>178.57149999999999</v>
      </c>
    </row>
    <row r="46" spans="1:5" ht="16.2" thickBot="1" x14ac:dyDescent="0.35">
      <c r="A46" s="104" t="s">
        <v>41</v>
      </c>
      <c r="B46" s="105" t="s">
        <v>160</v>
      </c>
      <c r="C46" s="90">
        <f>'Planilha de Apoio - P 12 x 36'!D25</f>
        <v>178.57149999999999</v>
      </c>
    </row>
    <row r="47" spans="1:5" ht="16.2" thickBot="1" x14ac:dyDescent="0.35">
      <c r="A47" s="104" t="s">
        <v>43</v>
      </c>
      <c r="B47" s="105" t="s">
        <v>161</v>
      </c>
      <c r="C47" s="47">
        <v>35</v>
      </c>
    </row>
    <row r="48" spans="1:5" ht="16.2" thickBot="1" x14ac:dyDescent="0.35">
      <c r="A48" s="104" t="s">
        <v>44</v>
      </c>
      <c r="B48" s="105" t="s">
        <v>164</v>
      </c>
      <c r="C48" s="47">
        <f>(C10/4)/12</f>
        <v>42.623333333333335</v>
      </c>
    </row>
    <row r="49" spans="1:4" ht="16.2" thickBot="1" x14ac:dyDescent="0.35">
      <c r="A49" s="104" t="s">
        <v>61</v>
      </c>
      <c r="B49" s="48" t="s">
        <v>162</v>
      </c>
      <c r="C49" s="47">
        <v>0</v>
      </c>
    </row>
    <row r="50" spans="1:4" ht="16.2" thickBot="1" x14ac:dyDescent="0.35">
      <c r="A50" s="201" t="s">
        <v>5</v>
      </c>
      <c r="B50" s="202"/>
      <c r="C50" s="90">
        <f>SUM(C42:C49)</f>
        <v>991.64593333333335</v>
      </c>
    </row>
    <row r="53" spans="1:4" x14ac:dyDescent="0.3">
      <c r="A53" s="197" t="s">
        <v>67</v>
      </c>
      <c r="B53" s="197"/>
      <c r="C53" s="197"/>
    </row>
    <row r="54" spans="1:4" ht="16.2" thickBot="1" x14ac:dyDescent="0.35"/>
    <row r="55" spans="1:4" ht="16.2" thickBot="1" x14ac:dyDescent="0.35">
      <c r="A55" s="86">
        <v>2</v>
      </c>
      <c r="B55" s="87" t="s">
        <v>68</v>
      </c>
      <c r="C55" s="87" t="s">
        <v>35</v>
      </c>
    </row>
    <row r="56" spans="1:4" ht="16.2" thickBot="1" x14ac:dyDescent="0.35">
      <c r="A56" s="88" t="s">
        <v>48</v>
      </c>
      <c r="B56" s="89" t="s">
        <v>49</v>
      </c>
      <c r="C56" s="90">
        <f>D22</f>
        <v>543.37589279999997</v>
      </c>
    </row>
    <row r="57" spans="1:4" ht="16.2" thickBot="1" x14ac:dyDescent="0.35">
      <c r="A57" s="88" t="s">
        <v>53</v>
      </c>
      <c r="B57" s="89" t="s">
        <v>54</v>
      </c>
      <c r="C57" s="90">
        <f>D36</f>
        <v>1178.7304565504</v>
      </c>
    </row>
    <row r="58" spans="1:4" ht="16.2" thickBot="1" x14ac:dyDescent="0.35">
      <c r="A58" s="88" t="s">
        <v>64</v>
      </c>
      <c r="B58" s="89" t="s">
        <v>65</v>
      </c>
      <c r="C58" s="90">
        <f>C50</f>
        <v>991.64593333333335</v>
      </c>
    </row>
    <row r="59" spans="1:4" ht="16.2" thickBot="1" x14ac:dyDescent="0.35">
      <c r="A59" s="198" t="s">
        <v>5</v>
      </c>
      <c r="B59" s="199"/>
      <c r="C59" s="90">
        <f>SUM(C56:C58)</f>
        <v>2713.7522826837335</v>
      </c>
    </row>
    <row r="60" spans="1:4" x14ac:dyDescent="0.3">
      <c r="A60" s="106"/>
    </row>
    <row r="62" spans="1:4" x14ac:dyDescent="0.3">
      <c r="A62" s="200" t="s">
        <v>69</v>
      </c>
      <c r="B62" s="200"/>
      <c r="C62" s="200"/>
    </row>
    <row r="63" spans="1:4" ht="16.2" thickBot="1" x14ac:dyDescent="0.35"/>
    <row r="64" spans="1:4" ht="16.2" thickBot="1" x14ac:dyDescent="0.35">
      <c r="A64" s="86">
        <v>3</v>
      </c>
      <c r="B64" s="87" t="s">
        <v>70</v>
      </c>
      <c r="C64" s="87" t="s">
        <v>55</v>
      </c>
      <c r="D64" s="87" t="s">
        <v>35</v>
      </c>
    </row>
    <row r="65" spans="1:4" ht="16.2" thickBot="1" x14ac:dyDescent="0.35">
      <c r="A65" s="88" t="s">
        <v>36</v>
      </c>
      <c r="B65" s="107" t="s">
        <v>71</v>
      </c>
      <c r="C65" s="108">
        <v>4.1999999999999997E-3</v>
      </c>
      <c r="D65" s="90">
        <f>(C$12)*C65</f>
        <v>11.170723199999999</v>
      </c>
    </row>
    <row r="66" spans="1:4" ht="16.2" thickBot="1" x14ac:dyDescent="0.35">
      <c r="A66" s="88" t="s">
        <v>38</v>
      </c>
      <c r="B66" s="109" t="s">
        <v>72</v>
      </c>
      <c r="C66" s="110">
        <f>C65*C35</f>
        <v>3.3599999999999998E-4</v>
      </c>
      <c r="D66" s="90">
        <f>(C$12)*C66</f>
        <v>0.89365785599999992</v>
      </c>
    </row>
    <row r="67" spans="1:4" ht="16.2" thickBot="1" x14ac:dyDescent="0.35">
      <c r="A67" s="88" t="s">
        <v>39</v>
      </c>
      <c r="B67" s="107" t="s">
        <v>125</v>
      </c>
      <c r="C67" s="111">
        <v>3.5999999999999999E-3</v>
      </c>
      <c r="D67" s="90">
        <f>C67*C12</f>
        <v>9.5749055999999992</v>
      </c>
    </row>
    <row r="68" spans="1:4" ht="16.2" thickBot="1" x14ac:dyDescent="0.35">
      <c r="A68" s="88" t="s">
        <v>40</v>
      </c>
      <c r="B68" s="107" t="s">
        <v>74</v>
      </c>
      <c r="C68" s="112">
        <v>1.9400000000000001E-2</v>
      </c>
      <c r="D68" s="90">
        <f>(C$12)*C68</f>
        <v>51.598102400000002</v>
      </c>
    </row>
    <row r="69" spans="1:4" ht="16.2" thickBot="1" x14ac:dyDescent="0.35">
      <c r="A69" s="88" t="s">
        <v>41</v>
      </c>
      <c r="B69" s="107" t="s">
        <v>75</v>
      </c>
      <c r="C69" s="111">
        <f>C68*C36</f>
        <v>7.1392000000000009E-3</v>
      </c>
      <c r="D69" s="90">
        <f>C69*C12</f>
        <v>18.988101683200004</v>
      </c>
    </row>
    <row r="70" spans="1:4" ht="16.2" thickBot="1" x14ac:dyDescent="0.35">
      <c r="A70" s="88" t="s">
        <v>43</v>
      </c>
      <c r="B70" s="107" t="s">
        <v>126</v>
      </c>
      <c r="C70" s="111">
        <v>3.6400000000000002E-2</v>
      </c>
      <c r="D70" s="90">
        <f>C70*C12</f>
        <v>96.812934400000003</v>
      </c>
    </row>
    <row r="71" spans="1:4" ht="16.2" thickBot="1" x14ac:dyDescent="0.35">
      <c r="A71" s="198" t="s">
        <v>5</v>
      </c>
      <c r="B71" s="199"/>
      <c r="C71" s="111">
        <f>SUM(C65:C70)</f>
        <v>7.1075200000000005E-2</v>
      </c>
      <c r="D71" s="90">
        <f>SUM(D65:D70)</f>
        <v>189.0384251392</v>
      </c>
    </row>
    <row r="74" spans="1:4" x14ac:dyDescent="0.3">
      <c r="A74" s="200" t="s">
        <v>77</v>
      </c>
      <c r="B74" s="200"/>
      <c r="C74" s="200"/>
    </row>
    <row r="77" spans="1:4" x14ac:dyDescent="0.3">
      <c r="A77" s="197" t="s">
        <v>78</v>
      </c>
      <c r="B77" s="197"/>
      <c r="C77" s="197"/>
    </row>
    <row r="78" spans="1:4" ht="16.2" thickBot="1" x14ac:dyDescent="0.35">
      <c r="A78" s="92"/>
    </row>
    <row r="79" spans="1:4" ht="16.2" thickBot="1" x14ac:dyDescent="0.35">
      <c r="A79" s="86" t="s">
        <v>79</v>
      </c>
      <c r="B79" s="87" t="s">
        <v>80</v>
      </c>
      <c r="C79" s="87" t="s">
        <v>55</v>
      </c>
      <c r="D79" s="87" t="s">
        <v>35</v>
      </c>
    </row>
    <row r="80" spans="1:4" ht="16.2" thickBot="1" x14ac:dyDescent="0.35">
      <c r="A80" s="88" t="s">
        <v>36</v>
      </c>
      <c r="B80" s="89" t="s">
        <v>152</v>
      </c>
      <c r="C80" s="111">
        <f>1/12/12</f>
        <v>6.9444444444444441E-3</v>
      </c>
      <c r="D80" s="90">
        <f t="shared" ref="D80:D86" si="1">(C$12)*C80</f>
        <v>18.470111111111109</v>
      </c>
    </row>
    <row r="81" spans="1:6" ht="16.2" thickBot="1" x14ac:dyDescent="0.35">
      <c r="A81" s="88" t="s">
        <v>38</v>
      </c>
      <c r="B81" s="89" t="s">
        <v>80</v>
      </c>
      <c r="C81" s="49">
        <v>8.0000000000000002E-3</v>
      </c>
      <c r="D81" s="90">
        <f t="shared" si="1"/>
        <v>21.277567999999999</v>
      </c>
    </row>
    <row r="82" spans="1:6" ht="16.2" thickBot="1" x14ac:dyDescent="0.35">
      <c r="A82" s="88" t="s">
        <v>39</v>
      </c>
      <c r="B82" s="89" t="s">
        <v>81</v>
      </c>
      <c r="C82" s="49">
        <v>1.4999999999999999E-2</v>
      </c>
      <c r="D82" s="90">
        <f t="shared" si="1"/>
        <v>39.895440000000001</v>
      </c>
    </row>
    <row r="83" spans="1:6" ht="16.2" thickBot="1" x14ac:dyDescent="0.35">
      <c r="A83" s="88" t="s">
        <v>40</v>
      </c>
      <c r="B83" s="89" t="s">
        <v>82</v>
      </c>
      <c r="C83" s="49">
        <v>0.01</v>
      </c>
      <c r="D83" s="90">
        <f t="shared" si="1"/>
        <v>26.596959999999999</v>
      </c>
    </row>
    <row r="84" spans="1:6" ht="16.2" thickBot="1" x14ac:dyDescent="0.35">
      <c r="A84" s="88" t="s">
        <v>41</v>
      </c>
      <c r="B84" s="89" t="s">
        <v>83</v>
      </c>
      <c r="C84" s="49">
        <v>0.01</v>
      </c>
      <c r="D84" s="90">
        <f t="shared" si="1"/>
        <v>26.596959999999999</v>
      </c>
    </row>
    <row r="85" spans="1:6" ht="16.2" thickBot="1" x14ac:dyDescent="0.35">
      <c r="A85" s="88" t="s">
        <v>43</v>
      </c>
      <c r="B85" s="50" t="s">
        <v>45</v>
      </c>
      <c r="C85" s="49">
        <v>0</v>
      </c>
      <c r="D85" s="90">
        <f t="shared" si="1"/>
        <v>0</v>
      </c>
    </row>
    <row r="86" spans="1:6" ht="16.2" thickBot="1" x14ac:dyDescent="0.35">
      <c r="A86" s="198" t="s">
        <v>62</v>
      </c>
      <c r="B86" s="199"/>
      <c r="C86" s="111">
        <f>SUM(C80:C85)</f>
        <v>4.9944444444444444E-2</v>
      </c>
      <c r="D86" s="90">
        <f t="shared" si="1"/>
        <v>132.8370391111111</v>
      </c>
    </row>
    <row r="87" spans="1:6" x14ac:dyDescent="0.3">
      <c r="C87" s="85">
        <f>C22+C36+C71+C86+E36</f>
        <v>0.76850204444444448</v>
      </c>
    </row>
    <row r="89" spans="1:6" x14ac:dyDescent="0.3">
      <c r="A89" s="197" t="s">
        <v>84</v>
      </c>
      <c r="B89" s="197"/>
      <c r="C89" s="197"/>
      <c r="F89" s="113"/>
    </row>
    <row r="90" spans="1:6" ht="16.2" thickBot="1" x14ac:dyDescent="0.35">
      <c r="A90" s="92"/>
      <c r="F90" s="113"/>
    </row>
    <row r="91" spans="1:6" ht="16.2" thickBot="1" x14ac:dyDescent="0.35">
      <c r="A91" s="86" t="s">
        <v>85</v>
      </c>
      <c r="B91" s="87" t="s">
        <v>124</v>
      </c>
      <c r="C91" s="87" t="s">
        <v>35</v>
      </c>
      <c r="F91" s="114">
        <f>C10+C11</f>
        <v>2659.6959999999999</v>
      </c>
    </row>
    <row r="92" spans="1:6" ht="16.2" thickBot="1" x14ac:dyDescent="0.35">
      <c r="A92" s="88" t="s">
        <v>36</v>
      </c>
      <c r="B92" s="89" t="s">
        <v>100</v>
      </c>
      <c r="C92" s="115">
        <f>F94</f>
        <v>294.40416814545461</v>
      </c>
      <c r="F92" s="114">
        <f>F91/220</f>
        <v>12.089527272727272</v>
      </c>
    </row>
    <row r="93" spans="1:6" ht="16.2" thickBot="1" x14ac:dyDescent="0.35">
      <c r="A93" s="198" t="s">
        <v>5</v>
      </c>
      <c r="B93" s="199"/>
      <c r="C93" s="115">
        <f>C92</f>
        <v>294.40416814545461</v>
      </c>
      <c r="F93" s="114">
        <f>F92*1.6</f>
        <v>19.343243636363638</v>
      </c>
    </row>
    <row r="94" spans="1:6" x14ac:dyDescent="0.3">
      <c r="F94" s="114">
        <f>F93*15.22</f>
        <v>294.40416814545461</v>
      </c>
    </row>
    <row r="95" spans="1:6" x14ac:dyDescent="0.3">
      <c r="F95" s="113"/>
    </row>
    <row r="96" spans="1:6" x14ac:dyDescent="0.3">
      <c r="A96" s="197" t="s">
        <v>87</v>
      </c>
      <c r="B96" s="197"/>
      <c r="C96" s="197"/>
    </row>
    <row r="97" spans="1:3" ht="16.2" thickBot="1" x14ac:dyDescent="0.35">
      <c r="A97" s="92"/>
    </row>
    <row r="98" spans="1:3" ht="16.2" thickBot="1" x14ac:dyDescent="0.35">
      <c r="A98" s="86">
        <v>4</v>
      </c>
      <c r="B98" s="87" t="s">
        <v>88</v>
      </c>
      <c r="C98" s="87" t="s">
        <v>35</v>
      </c>
    </row>
    <row r="99" spans="1:3" ht="16.2" thickBot="1" x14ac:dyDescent="0.35">
      <c r="A99" s="88" t="s">
        <v>79</v>
      </c>
      <c r="B99" s="89" t="s">
        <v>80</v>
      </c>
      <c r="C99" s="90">
        <f>D86</f>
        <v>132.8370391111111</v>
      </c>
    </row>
    <row r="100" spans="1:3" ht="16.2" thickBot="1" x14ac:dyDescent="0.35">
      <c r="A100" s="88" t="s">
        <v>85</v>
      </c>
      <c r="B100" s="89" t="s">
        <v>86</v>
      </c>
      <c r="C100" s="90">
        <f>C93</f>
        <v>294.40416814545461</v>
      </c>
    </row>
    <row r="101" spans="1:3" ht="16.2" thickBot="1" x14ac:dyDescent="0.35">
      <c r="A101" s="198" t="s">
        <v>5</v>
      </c>
      <c r="B101" s="199"/>
      <c r="C101" s="91">
        <f>C99+C100</f>
        <v>427.2412072565657</v>
      </c>
    </row>
    <row r="104" spans="1:3" x14ac:dyDescent="0.3">
      <c r="A104" s="200" t="s">
        <v>89</v>
      </c>
      <c r="B104" s="200"/>
      <c r="C104" s="200"/>
    </row>
    <row r="105" spans="1:3" ht="16.2" thickBot="1" x14ac:dyDescent="0.35"/>
    <row r="106" spans="1:3" ht="16.2" thickBot="1" x14ac:dyDescent="0.35">
      <c r="A106" s="86">
        <v>5</v>
      </c>
      <c r="B106" s="116" t="s">
        <v>21</v>
      </c>
      <c r="C106" s="87" t="s">
        <v>35</v>
      </c>
    </row>
    <row r="107" spans="1:3" ht="16.2" thickBot="1" x14ac:dyDescent="0.35">
      <c r="A107" s="88" t="s">
        <v>36</v>
      </c>
      <c r="B107" s="89" t="s">
        <v>90</v>
      </c>
      <c r="C107" s="117">
        <f>'Planilha de Apoio - P 12 x 36'!C50</f>
        <v>285.41666666666669</v>
      </c>
    </row>
    <row r="108" spans="1:3" ht="16.2" thickBot="1" x14ac:dyDescent="0.35">
      <c r="A108" s="88" t="s">
        <v>38</v>
      </c>
      <c r="B108" s="89" t="s">
        <v>91</v>
      </c>
      <c r="C108" s="117">
        <f>'Planilha de Apoio - P 12 x 36'!D34</f>
        <v>4.75</v>
      </c>
    </row>
    <row r="109" spans="1:3" ht="16.2" thickBot="1" x14ac:dyDescent="0.35">
      <c r="A109" s="88" t="s">
        <v>39</v>
      </c>
      <c r="B109" s="50" t="s">
        <v>139</v>
      </c>
      <c r="C109" s="47"/>
    </row>
    <row r="110" spans="1:3" ht="16.2" thickBot="1" x14ac:dyDescent="0.35">
      <c r="A110" s="88" t="s">
        <v>40</v>
      </c>
      <c r="B110" s="50" t="s">
        <v>139</v>
      </c>
      <c r="C110" s="47"/>
    </row>
    <row r="111" spans="1:3" ht="16.2" thickBot="1" x14ac:dyDescent="0.35">
      <c r="A111" s="198" t="s">
        <v>62</v>
      </c>
      <c r="B111" s="199"/>
      <c r="C111" s="90">
        <f>SUM(C107:C110)</f>
        <v>290.16666666666669</v>
      </c>
    </row>
    <row r="114" spans="1:6" x14ac:dyDescent="0.3">
      <c r="A114" s="200" t="s">
        <v>92</v>
      </c>
      <c r="B114" s="200"/>
      <c r="C114" s="200"/>
    </row>
    <row r="115" spans="1:6" ht="16.2" thickBot="1" x14ac:dyDescent="0.35"/>
    <row r="116" spans="1:6" ht="16.2" thickBot="1" x14ac:dyDescent="0.35">
      <c r="A116" s="86">
        <v>6</v>
      </c>
      <c r="B116" s="116" t="s">
        <v>22</v>
      </c>
      <c r="C116" s="87" t="s">
        <v>55</v>
      </c>
      <c r="D116" s="87" t="s">
        <v>35</v>
      </c>
    </row>
    <row r="117" spans="1:6" ht="16.2" thickBot="1" x14ac:dyDescent="0.35">
      <c r="A117" s="88" t="s">
        <v>36</v>
      </c>
      <c r="B117" s="118" t="s">
        <v>23</v>
      </c>
      <c r="C117" s="46">
        <v>0.1</v>
      </c>
      <c r="D117" s="119">
        <f>C117*C136</f>
        <v>627.98945817461663</v>
      </c>
    </row>
    <row r="118" spans="1:6" ht="16.2" thickBot="1" x14ac:dyDescent="0.35">
      <c r="A118" s="88" t="s">
        <v>38</v>
      </c>
      <c r="B118" s="118" t="s">
        <v>25</v>
      </c>
      <c r="C118" s="46">
        <f>C117</f>
        <v>0.1</v>
      </c>
      <c r="D118" s="119">
        <f>C118*(C136+D117)</f>
        <v>690.78840399207832</v>
      </c>
    </row>
    <row r="119" spans="1:6" ht="16.2" thickBot="1" x14ac:dyDescent="0.35">
      <c r="A119" s="88" t="s">
        <v>39</v>
      </c>
      <c r="B119" s="89" t="s">
        <v>24</v>
      </c>
      <c r="C119" s="101"/>
      <c r="D119" s="90"/>
      <c r="E119" s="113"/>
      <c r="F119" s="113"/>
    </row>
    <row r="120" spans="1:6" ht="16.2" thickBot="1" x14ac:dyDescent="0.35">
      <c r="A120" s="88"/>
      <c r="B120" s="118" t="s">
        <v>104</v>
      </c>
      <c r="C120" s="120">
        <f>C121+C122</f>
        <v>3.6499999999999998E-2</v>
      </c>
      <c r="D120" s="119">
        <f>C120*E126</f>
        <v>297.10931355417188</v>
      </c>
      <c r="E120" s="102">
        <f>C121+C122+C124</f>
        <v>6.6500000000000004E-2</v>
      </c>
      <c r="F120" s="113"/>
    </row>
    <row r="121" spans="1:6" ht="16.2" thickBot="1" x14ac:dyDescent="0.35">
      <c r="A121" s="88"/>
      <c r="B121" s="89" t="s">
        <v>102</v>
      </c>
      <c r="C121" s="101">
        <v>0.03</v>
      </c>
      <c r="D121" s="90">
        <f>C121*E126</f>
        <v>244.19943579794946</v>
      </c>
      <c r="E121" s="113"/>
      <c r="F121" s="113"/>
    </row>
    <row r="122" spans="1:6" ht="16.2" thickBot="1" x14ac:dyDescent="0.35">
      <c r="A122" s="88"/>
      <c r="B122" s="89" t="s">
        <v>103</v>
      </c>
      <c r="C122" s="101">
        <v>6.4999999999999997E-3</v>
      </c>
      <c r="D122" s="90">
        <f>C122*E126</f>
        <v>52.909877756222386</v>
      </c>
      <c r="E122" s="113"/>
      <c r="F122" s="113"/>
    </row>
    <row r="123" spans="1:6" ht="16.2" thickBot="1" x14ac:dyDescent="0.35">
      <c r="A123" s="88"/>
      <c r="B123" s="118" t="s">
        <v>105</v>
      </c>
      <c r="C123" s="120">
        <v>0</v>
      </c>
      <c r="D123" s="119">
        <f>C123*E126</f>
        <v>0</v>
      </c>
      <c r="E123" s="113"/>
      <c r="F123" s="113"/>
    </row>
    <row r="124" spans="1:6" ht="16.2" thickBot="1" x14ac:dyDescent="0.35">
      <c r="A124" s="88"/>
      <c r="B124" s="118" t="s">
        <v>106</v>
      </c>
      <c r="C124" s="120">
        <v>0.03</v>
      </c>
      <c r="D124" s="119">
        <f>C124*E126</f>
        <v>244.19943579794946</v>
      </c>
      <c r="E124" s="113"/>
      <c r="F124" s="113"/>
    </row>
    <row r="125" spans="1:6" ht="16.2" thickBot="1" x14ac:dyDescent="0.35">
      <c r="A125" s="213" t="s">
        <v>62</v>
      </c>
      <c r="B125" s="214"/>
      <c r="C125" s="120">
        <f>C117+C118+C120+C123+C124</f>
        <v>0.26650000000000001</v>
      </c>
      <c r="D125" s="119">
        <f>D117+D118+D120+D123+D124</f>
        <v>1860.0866115188162</v>
      </c>
      <c r="E125" s="113"/>
      <c r="F125" s="121">
        <f>C136+D117+D118</f>
        <v>7598.6724439128611</v>
      </c>
    </row>
    <row r="126" spans="1:6" x14ac:dyDescent="0.3">
      <c r="E126" s="113">
        <f>(F125)/(100%-E120)</f>
        <v>8139.9811932649827</v>
      </c>
      <c r="F126" s="113"/>
    </row>
    <row r="127" spans="1:6" x14ac:dyDescent="0.3">
      <c r="E127" s="113"/>
      <c r="F127" s="113"/>
    </row>
    <row r="128" spans="1:6" x14ac:dyDescent="0.3">
      <c r="A128" s="200" t="s">
        <v>93</v>
      </c>
      <c r="B128" s="200"/>
      <c r="C128" s="200"/>
      <c r="E128" s="113"/>
      <c r="F128" s="113"/>
    </row>
    <row r="129" spans="1:3" ht="16.2" thickBot="1" x14ac:dyDescent="0.35"/>
    <row r="130" spans="1:3" ht="16.2" thickBot="1" x14ac:dyDescent="0.35">
      <c r="A130" s="86"/>
      <c r="B130" s="87" t="s">
        <v>94</v>
      </c>
      <c r="C130" s="87" t="s">
        <v>35</v>
      </c>
    </row>
    <row r="131" spans="1:3" ht="16.2" thickBot="1" x14ac:dyDescent="0.35">
      <c r="A131" s="122" t="s">
        <v>36</v>
      </c>
      <c r="B131" s="89" t="s">
        <v>33</v>
      </c>
      <c r="C131" s="123">
        <f>C12</f>
        <v>2659.6959999999999</v>
      </c>
    </row>
    <row r="132" spans="1:3" ht="16.2" thickBot="1" x14ac:dyDescent="0.35">
      <c r="A132" s="122" t="s">
        <v>38</v>
      </c>
      <c r="B132" s="89" t="s">
        <v>46</v>
      </c>
      <c r="C132" s="123">
        <f>C59</f>
        <v>2713.7522826837335</v>
      </c>
    </row>
    <row r="133" spans="1:3" ht="16.2" thickBot="1" x14ac:dyDescent="0.35">
      <c r="A133" s="122" t="s">
        <v>39</v>
      </c>
      <c r="B133" s="89" t="s">
        <v>69</v>
      </c>
      <c r="C133" s="123">
        <f>D71</f>
        <v>189.0384251392</v>
      </c>
    </row>
    <row r="134" spans="1:3" ht="16.2" thickBot="1" x14ac:dyDescent="0.35">
      <c r="A134" s="122" t="s">
        <v>40</v>
      </c>
      <c r="B134" s="89" t="s">
        <v>77</v>
      </c>
      <c r="C134" s="123">
        <f>C101</f>
        <v>427.2412072565657</v>
      </c>
    </row>
    <row r="135" spans="1:3" ht="16.2" thickBot="1" x14ac:dyDescent="0.35">
      <c r="A135" s="122" t="s">
        <v>41</v>
      </c>
      <c r="B135" s="89" t="s">
        <v>89</v>
      </c>
      <c r="C135" s="123">
        <f>C111</f>
        <v>290.16666666666669</v>
      </c>
    </row>
    <row r="136" spans="1:3" ht="16.5" customHeight="1" thickBot="1" x14ac:dyDescent="0.35">
      <c r="A136" s="198" t="s">
        <v>95</v>
      </c>
      <c r="B136" s="199"/>
      <c r="C136" s="123">
        <f>SUM(C131:C135)</f>
        <v>6279.8945817461663</v>
      </c>
    </row>
    <row r="137" spans="1:3" ht="16.2" thickBot="1" x14ac:dyDescent="0.35">
      <c r="A137" s="122" t="s">
        <v>43</v>
      </c>
      <c r="B137" s="89" t="s">
        <v>96</v>
      </c>
      <c r="C137" s="123">
        <f>D125</f>
        <v>1860.0866115188162</v>
      </c>
    </row>
    <row r="138" spans="1:3" ht="16.5" customHeight="1" x14ac:dyDescent="0.3">
      <c r="A138" s="211" t="s">
        <v>97</v>
      </c>
      <c r="B138" s="212"/>
      <c r="C138" s="124">
        <f>C136+C137</f>
        <v>8139.9811932649827</v>
      </c>
    </row>
    <row r="139" spans="1:3" ht="16.5" customHeight="1" x14ac:dyDescent="0.3">
      <c r="A139" s="208" t="s">
        <v>115</v>
      </c>
      <c r="B139" s="209"/>
      <c r="C139" s="125">
        <v>2</v>
      </c>
    </row>
    <row r="140" spans="1:3" ht="16.2" thickBot="1" x14ac:dyDescent="0.35">
      <c r="A140" s="210" t="s">
        <v>116</v>
      </c>
      <c r="B140" s="210"/>
      <c r="C140" s="126">
        <f>C138*C139</f>
        <v>16279.962386529965</v>
      </c>
    </row>
  </sheetData>
  <sheetProtection password="CDE0" sheet="1" objects="1" scenarios="1"/>
  <mergeCells count="35">
    <mergeCell ref="A139:B139"/>
    <mergeCell ref="A140:B140"/>
    <mergeCell ref="A138:B138"/>
    <mergeCell ref="A128:C128"/>
    <mergeCell ref="A74:C74"/>
    <mergeCell ref="A86:B86"/>
    <mergeCell ref="A77:C77"/>
    <mergeCell ref="A93:B93"/>
    <mergeCell ref="A89:C89"/>
    <mergeCell ref="A101:B101"/>
    <mergeCell ref="A96:C96"/>
    <mergeCell ref="A136:B136"/>
    <mergeCell ref="A125:B125"/>
    <mergeCell ref="A114:C114"/>
    <mergeCell ref="A111:B111"/>
    <mergeCell ref="A104:C104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71:B71"/>
    <mergeCell ref="A62:C62"/>
    <mergeCell ref="A59:B59"/>
    <mergeCell ref="A53:C53"/>
    <mergeCell ref="A50:B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52" max="3" man="1"/>
    <brk id="95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showGridLines="0" topLeftCell="A127" workbookViewId="0">
      <selection activeCell="D108" sqref="D108"/>
    </sheetView>
  </sheetViews>
  <sheetFormatPr defaultColWidth="9.109375" defaultRowHeight="15.6" x14ac:dyDescent="0.3"/>
  <cols>
    <col min="1" max="1" width="16.33203125" style="13" customWidth="1"/>
    <col min="2" max="2" width="72.109375" style="13" customWidth="1"/>
    <col min="3" max="3" width="18" style="13" customWidth="1"/>
    <col min="4" max="4" width="14.33203125" style="13" customWidth="1"/>
    <col min="5" max="5" width="14" style="13" bestFit="1" customWidth="1"/>
    <col min="6" max="6" width="12" style="13" customWidth="1"/>
    <col min="7" max="7" width="15.109375" style="13" customWidth="1"/>
    <col min="8" max="16384" width="9.109375" style="13"/>
  </cols>
  <sheetData>
    <row r="1" spans="1:5" ht="22.8" x14ac:dyDescent="0.4">
      <c r="A1" s="217" t="s">
        <v>98</v>
      </c>
      <c r="B1" s="217"/>
      <c r="C1" s="217"/>
      <c r="D1" s="217"/>
    </row>
    <row r="2" spans="1:5" ht="22.8" x14ac:dyDescent="0.4">
      <c r="A2" s="217" t="s">
        <v>99</v>
      </c>
      <c r="B2" s="217"/>
      <c r="C2" s="217"/>
      <c r="D2" s="217"/>
    </row>
    <row r="3" spans="1:5" ht="27.75" customHeight="1" x14ac:dyDescent="0.3">
      <c r="A3" s="218"/>
      <c r="B3" s="218"/>
      <c r="C3" s="218"/>
      <c r="D3" s="218"/>
    </row>
    <row r="4" spans="1:5" x14ac:dyDescent="0.3">
      <c r="A4" s="19" t="s">
        <v>107</v>
      </c>
      <c r="B4" s="215" t="s">
        <v>169</v>
      </c>
      <c r="C4" s="216"/>
    </row>
    <row r="5" spans="1:5" x14ac:dyDescent="0.3">
      <c r="A5" s="19" t="s">
        <v>108</v>
      </c>
      <c r="B5" s="215" t="s">
        <v>143</v>
      </c>
      <c r="C5" s="216"/>
      <c r="E5" s="38"/>
    </row>
    <row r="6" spans="1:5" x14ac:dyDescent="0.3">
      <c r="A6" s="19"/>
      <c r="B6" s="215"/>
      <c r="C6" s="216"/>
    </row>
    <row r="7" spans="1:5" x14ac:dyDescent="0.3">
      <c r="A7" s="220" t="s">
        <v>33</v>
      </c>
      <c r="B7" s="220"/>
      <c r="C7" s="220"/>
    </row>
    <row r="8" spans="1:5" ht="16.2" thickBot="1" x14ac:dyDescent="0.35"/>
    <row r="9" spans="1:5" ht="16.2" thickBot="1" x14ac:dyDescent="0.35">
      <c r="A9" s="7">
        <v>1</v>
      </c>
      <c r="B9" s="33" t="s">
        <v>34</v>
      </c>
      <c r="C9" s="33" t="s">
        <v>35</v>
      </c>
    </row>
    <row r="10" spans="1:5" ht="16.2" thickBot="1" x14ac:dyDescent="0.35">
      <c r="A10" s="8" t="s">
        <v>36</v>
      </c>
      <c r="B10" s="9" t="s">
        <v>37</v>
      </c>
      <c r="C10" s="15">
        <v>2045.92</v>
      </c>
      <c r="D10" s="41">
        <f>C10+C11</f>
        <v>2659.6959999999999</v>
      </c>
      <c r="E10" s="41">
        <f>D10/220</f>
        <v>12.089527272727272</v>
      </c>
    </row>
    <row r="11" spans="1:5" ht="16.2" thickBot="1" x14ac:dyDescent="0.35">
      <c r="A11" s="8" t="s">
        <v>38</v>
      </c>
      <c r="B11" s="9" t="s">
        <v>112</v>
      </c>
      <c r="C11" s="15">
        <f>C10*0.3</f>
        <v>613.77599999999995</v>
      </c>
      <c r="D11" s="41"/>
      <c r="E11" s="41">
        <f>E10*0.2</f>
        <v>2.4179054545454548</v>
      </c>
    </row>
    <row r="12" spans="1:5" ht="16.2" thickBot="1" x14ac:dyDescent="0.35">
      <c r="A12" s="8" t="s">
        <v>39</v>
      </c>
      <c r="B12" s="9" t="s">
        <v>4</v>
      </c>
      <c r="C12" s="15">
        <f>D12*E11</f>
        <v>257.60364712727278</v>
      </c>
      <c r="D12" s="42">
        <f>7*15.22</f>
        <v>106.54</v>
      </c>
      <c r="E12" s="41">
        <f>E11+E10</f>
        <v>14.507432727272727</v>
      </c>
    </row>
    <row r="13" spans="1:5" ht="16.2" thickBot="1" x14ac:dyDescent="0.35">
      <c r="A13" s="8" t="s">
        <v>40</v>
      </c>
      <c r="B13" s="9" t="s">
        <v>42</v>
      </c>
      <c r="C13" s="15">
        <f>E12*15.22</f>
        <v>220.80312610909093</v>
      </c>
      <c r="D13" s="43"/>
      <c r="E13" s="43"/>
    </row>
    <row r="14" spans="1:5" ht="16.2" thickBot="1" x14ac:dyDescent="0.35">
      <c r="A14" s="221" t="s">
        <v>5</v>
      </c>
      <c r="B14" s="222"/>
      <c r="C14" s="25">
        <f>SUM(C10:C13)</f>
        <v>3138.1027732363636</v>
      </c>
    </row>
    <row r="17" spans="1:4" x14ac:dyDescent="0.3">
      <c r="A17" s="219" t="s">
        <v>46</v>
      </c>
      <c r="B17" s="219"/>
      <c r="C17" s="219"/>
    </row>
    <row r="18" spans="1:4" x14ac:dyDescent="0.3">
      <c r="A18" s="6"/>
    </row>
    <row r="19" spans="1:4" x14ac:dyDescent="0.3">
      <c r="A19" s="223" t="s">
        <v>47</v>
      </c>
      <c r="B19" s="223"/>
      <c r="C19" s="223"/>
    </row>
    <row r="20" spans="1:4" ht="16.2" thickBot="1" x14ac:dyDescent="0.35"/>
    <row r="21" spans="1:4" ht="16.2" thickBot="1" x14ac:dyDescent="0.35">
      <c r="A21" s="7" t="s">
        <v>48</v>
      </c>
      <c r="B21" s="33" t="s">
        <v>49</v>
      </c>
      <c r="C21" s="33" t="s">
        <v>55</v>
      </c>
      <c r="D21" s="33" t="s">
        <v>35</v>
      </c>
    </row>
    <row r="22" spans="1:4" ht="16.2" thickBot="1" x14ac:dyDescent="0.35">
      <c r="A22" s="8" t="s">
        <v>36</v>
      </c>
      <c r="B22" s="21" t="s">
        <v>50</v>
      </c>
      <c r="C22" s="23">
        <f>'Posto 12x36 diurno ISS 3%'!C20</f>
        <v>8.3299999999999999E-2</v>
      </c>
      <c r="D22" s="22">
        <f>C$14*C22</f>
        <v>261.40396101058911</v>
      </c>
    </row>
    <row r="23" spans="1:4" ht="16.2" thickBot="1" x14ac:dyDescent="0.35">
      <c r="A23" s="8" t="s">
        <v>38</v>
      </c>
      <c r="B23" s="20" t="s">
        <v>51</v>
      </c>
      <c r="C23" s="23">
        <f>'Posto 12x36 diurno ISS 3%'!C21</f>
        <v>0.121</v>
      </c>
      <c r="D23" s="24">
        <f>C$14*C23</f>
        <v>379.71043556159998</v>
      </c>
    </row>
    <row r="24" spans="1:4" ht="16.2" thickBot="1" x14ac:dyDescent="0.35">
      <c r="A24" s="224" t="s">
        <v>5</v>
      </c>
      <c r="B24" s="225"/>
      <c r="C24" s="26">
        <f>SUM(C22:C23)</f>
        <v>0.20429999999999998</v>
      </c>
      <c r="D24" s="27">
        <f>C$14*C24</f>
        <v>641.11439657218898</v>
      </c>
    </row>
    <row r="27" spans="1:4" ht="32.25" customHeight="1" x14ac:dyDescent="0.3">
      <c r="A27" s="226" t="s">
        <v>52</v>
      </c>
      <c r="B27" s="226"/>
      <c r="C27" s="226"/>
      <c r="D27" s="226"/>
    </row>
    <row r="28" spans="1:4" ht="16.2" thickBot="1" x14ac:dyDescent="0.35"/>
    <row r="29" spans="1:4" ht="16.2" thickBot="1" x14ac:dyDescent="0.35">
      <c r="A29" s="7" t="s">
        <v>53</v>
      </c>
      <c r="B29" s="33" t="s">
        <v>54</v>
      </c>
      <c r="C29" s="33" t="s">
        <v>55</v>
      </c>
      <c r="D29" s="33" t="s">
        <v>35</v>
      </c>
    </row>
    <row r="30" spans="1:4" ht="16.2" thickBot="1" x14ac:dyDescent="0.35">
      <c r="A30" s="8" t="s">
        <v>36</v>
      </c>
      <c r="B30" s="9" t="s">
        <v>56</v>
      </c>
      <c r="C30" s="23">
        <f>'Posto 12x36 diurno ISS 3%'!C28</f>
        <v>0.2</v>
      </c>
      <c r="D30" s="24">
        <f t="shared" ref="D30:D38" si="0">(D$24+C$14)*C30</f>
        <v>755.84343396171062</v>
      </c>
    </row>
    <row r="31" spans="1:4" ht="16.2" thickBot="1" x14ac:dyDescent="0.35">
      <c r="A31" s="8" t="s">
        <v>38</v>
      </c>
      <c r="B31" s="9" t="s">
        <v>57</v>
      </c>
      <c r="C31" s="23">
        <f>'Posto 12x36 diurno ISS 3%'!C29</f>
        <v>2.5000000000000001E-2</v>
      </c>
      <c r="D31" s="24">
        <f t="shared" si="0"/>
        <v>94.480429245213827</v>
      </c>
    </row>
    <row r="32" spans="1:4" ht="16.2" thickBot="1" x14ac:dyDescent="0.35">
      <c r="A32" s="8" t="s">
        <v>39</v>
      </c>
      <c r="B32" s="9" t="s">
        <v>58</v>
      </c>
      <c r="C32" s="54">
        <f>'Posto 12x36 diurno ISS 3%'!C30</f>
        <v>0.03</v>
      </c>
      <c r="D32" s="24">
        <f t="shared" si="0"/>
        <v>113.37651509425658</v>
      </c>
    </row>
    <row r="33" spans="1:4" ht="16.2" thickBot="1" x14ac:dyDescent="0.35">
      <c r="A33" s="8" t="s">
        <v>40</v>
      </c>
      <c r="B33" s="9" t="s">
        <v>59</v>
      </c>
      <c r="C33" s="23">
        <f>'Posto 12x36 diurno ISS 3%'!C31</f>
        <v>1.4999999999999999E-2</v>
      </c>
      <c r="D33" s="24">
        <f t="shared" si="0"/>
        <v>56.688257547128288</v>
      </c>
    </row>
    <row r="34" spans="1:4" ht="16.2" thickBot="1" x14ac:dyDescent="0.35">
      <c r="A34" s="8" t="s">
        <v>41</v>
      </c>
      <c r="B34" s="9" t="s">
        <v>60</v>
      </c>
      <c r="C34" s="23">
        <f>'Posto 12x36 diurno ISS 3%'!C32</f>
        <v>0.01</v>
      </c>
      <c r="D34" s="24">
        <f t="shared" si="0"/>
        <v>37.792171698085525</v>
      </c>
    </row>
    <row r="35" spans="1:4" ht="16.2" thickBot="1" x14ac:dyDescent="0.35">
      <c r="A35" s="8" t="s">
        <v>43</v>
      </c>
      <c r="B35" s="9" t="s">
        <v>6</v>
      </c>
      <c r="C35" s="23">
        <f>'Posto 12x36 diurno ISS 3%'!C33</f>
        <v>6.0000000000000001E-3</v>
      </c>
      <c r="D35" s="24">
        <f t="shared" si="0"/>
        <v>22.675303018851316</v>
      </c>
    </row>
    <row r="36" spans="1:4" ht="16.2" thickBot="1" x14ac:dyDescent="0.35">
      <c r="A36" s="8" t="s">
        <v>44</v>
      </c>
      <c r="B36" s="9" t="s">
        <v>7</v>
      </c>
      <c r="C36" s="23">
        <f>'Posto 12x36 diurno ISS 3%'!C34</f>
        <v>2E-3</v>
      </c>
      <c r="D36" s="24">
        <f t="shared" si="0"/>
        <v>7.5584343396171052</v>
      </c>
    </row>
    <row r="37" spans="1:4" ht="16.2" thickBot="1" x14ac:dyDescent="0.35">
      <c r="A37" s="8" t="s">
        <v>61</v>
      </c>
      <c r="B37" s="9" t="s">
        <v>8</v>
      </c>
      <c r="C37" s="23">
        <f>'Posto 12x36 diurno ISS 3%'!C35</f>
        <v>0.08</v>
      </c>
      <c r="D37" s="24">
        <f t="shared" si="0"/>
        <v>302.3373735846842</v>
      </c>
    </row>
    <row r="38" spans="1:4" ht="16.2" thickBot="1" x14ac:dyDescent="0.35">
      <c r="A38" s="224" t="s">
        <v>62</v>
      </c>
      <c r="B38" s="225"/>
      <c r="C38" s="10">
        <f>SUM(C30:C37)</f>
        <v>0.36800000000000005</v>
      </c>
      <c r="D38" s="24">
        <f t="shared" si="0"/>
        <v>1390.7519184895475</v>
      </c>
    </row>
    <row r="41" spans="1:4" x14ac:dyDescent="0.3">
      <c r="A41" s="223" t="s">
        <v>63</v>
      </c>
      <c r="B41" s="223"/>
      <c r="C41" s="223"/>
    </row>
    <row r="42" spans="1:4" ht="16.2" thickBot="1" x14ac:dyDescent="0.35"/>
    <row r="43" spans="1:4" ht="16.2" thickBot="1" x14ac:dyDescent="0.35">
      <c r="A43" s="7" t="s">
        <v>64</v>
      </c>
      <c r="B43" s="33" t="s">
        <v>65</v>
      </c>
      <c r="C43" s="33" t="s">
        <v>35</v>
      </c>
    </row>
    <row r="44" spans="1:4" ht="16.2" thickBot="1" x14ac:dyDescent="0.35">
      <c r="A44" s="8" t="s">
        <v>36</v>
      </c>
      <c r="B44" s="55" t="str">
        <f>'Posto 12x36 diurno ISS 3%'!B42</f>
        <v>Transporte</v>
      </c>
      <c r="C44" s="16">
        <f>'Posto 12x36 diurno ISS 3%'!C42</f>
        <v>75.104800000000012</v>
      </c>
    </row>
    <row r="45" spans="1:4" ht="16.2" thickBot="1" x14ac:dyDescent="0.35">
      <c r="A45" s="8" t="s">
        <v>38</v>
      </c>
      <c r="B45" s="55" t="str">
        <f>'Posto 12x36 diurno ISS 3%'!B43</f>
        <v>Auxílio-Refeição</v>
      </c>
      <c r="C45" s="16">
        <f>'Posto 12x36 diurno ISS 3%'!C43</f>
        <v>461.77480000000003</v>
      </c>
    </row>
    <row r="46" spans="1:4" ht="16.2" thickBot="1" x14ac:dyDescent="0.35">
      <c r="A46" s="8" t="s">
        <v>39</v>
      </c>
      <c r="B46" s="55" t="str">
        <f>'Posto 12x36 diurno ISS 3%'!B44</f>
        <v>Benefício Seguro de Vida em Grupo</v>
      </c>
      <c r="C46" s="57">
        <f>'Posto 12x36 diurno ISS 3%'!C44</f>
        <v>20</v>
      </c>
    </row>
    <row r="47" spans="1:4" ht="16.2" thickBot="1" x14ac:dyDescent="0.35">
      <c r="A47" s="32" t="s">
        <v>40</v>
      </c>
      <c r="B47" s="55" t="str">
        <f>'Posto 12x36 diurno ISS 3%'!B45</f>
        <v>Assistência Médica</v>
      </c>
      <c r="C47" s="16">
        <f>'Posto 12x36 diurno ISS 3%'!C45</f>
        <v>178.57149999999999</v>
      </c>
    </row>
    <row r="48" spans="1:4" ht="16.2" thickBot="1" x14ac:dyDescent="0.35">
      <c r="A48" s="32" t="s">
        <v>41</v>
      </c>
      <c r="B48" s="55" t="str">
        <f>'Posto 12x36 diurno ISS 3%'!B46</f>
        <v>Cesta Básica Suplementar</v>
      </c>
      <c r="C48" s="16">
        <f>'Posto 12x36 diurno ISS 3%'!C46</f>
        <v>178.57149999999999</v>
      </c>
    </row>
    <row r="49" spans="1:3" ht="16.2" thickBot="1" x14ac:dyDescent="0.35">
      <c r="A49" s="32" t="s">
        <v>43</v>
      </c>
      <c r="B49" s="55" t="str">
        <f>'Posto 12x36 diurno ISS 3%'!B47</f>
        <v>Reciclagem</v>
      </c>
      <c r="C49" s="16">
        <f>'Posto 12x36 diurno ISS 3%'!C47</f>
        <v>35</v>
      </c>
    </row>
    <row r="50" spans="1:3" ht="16.2" thickBot="1" x14ac:dyDescent="0.35">
      <c r="A50" s="32" t="s">
        <v>44</v>
      </c>
      <c r="B50" s="55" t="str">
        <f>'Posto 12x36 diurno ISS 3%'!B48</f>
        <v>Participação nos Lucros</v>
      </c>
      <c r="C50" s="56">
        <f>'Posto 12x36 diurno ISS 3%'!C48</f>
        <v>42.623333333333335</v>
      </c>
    </row>
    <row r="51" spans="1:3" ht="16.2" thickBot="1" x14ac:dyDescent="0.35">
      <c r="A51" s="32" t="s">
        <v>61</v>
      </c>
      <c r="B51" s="55" t="str">
        <f>'Posto 12x36 diurno ISS 3%'!B49</f>
        <v>Outro (Especificar)</v>
      </c>
      <c r="C51" s="56">
        <f>'Posto 12x36 diurno ISS 3%'!C49</f>
        <v>0</v>
      </c>
    </row>
    <row r="52" spans="1:3" ht="16.2" thickBot="1" x14ac:dyDescent="0.35">
      <c r="A52" s="221" t="s">
        <v>5</v>
      </c>
      <c r="B52" s="222"/>
      <c r="C52" s="15">
        <f>SUM(C44:C51)</f>
        <v>991.64593333333335</v>
      </c>
    </row>
    <row r="55" spans="1:3" x14ac:dyDescent="0.3">
      <c r="A55" s="223" t="s">
        <v>67</v>
      </c>
      <c r="B55" s="223"/>
      <c r="C55" s="223"/>
    </row>
    <row r="56" spans="1:3" ht="16.2" thickBot="1" x14ac:dyDescent="0.35"/>
    <row r="57" spans="1:3" ht="16.2" thickBot="1" x14ac:dyDescent="0.35">
      <c r="A57" s="7">
        <v>2</v>
      </c>
      <c r="B57" s="33" t="s">
        <v>68</v>
      </c>
      <c r="C57" s="33" t="s">
        <v>35</v>
      </c>
    </row>
    <row r="58" spans="1:3" ht="16.2" thickBot="1" x14ac:dyDescent="0.35">
      <c r="A58" s="8" t="s">
        <v>48</v>
      </c>
      <c r="B58" s="9" t="s">
        <v>49</v>
      </c>
      <c r="C58" s="15">
        <f>D24</f>
        <v>641.11439657218898</v>
      </c>
    </row>
    <row r="59" spans="1:3" ht="16.2" thickBot="1" x14ac:dyDescent="0.35">
      <c r="A59" s="8" t="s">
        <v>53</v>
      </c>
      <c r="B59" s="9" t="s">
        <v>54</v>
      </c>
      <c r="C59" s="15">
        <f>D38</f>
        <v>1390.7519184895475</v>
      </c>
    </row>
    <row r="60" spans="1:3" ht="16.2" thickBot="1" x14ac:dyDescent="0.35">
      <c r="A60" s="8" t="s">
        <v>64</v>
      </c>
      <c r="B60" s="9" t="s">
        <v>65</v>
      </c>
      <c r="C60" s="15">
        <f>C52</f>
        <v>991.64593333333335</v>
      </c>
    </row>
    <row r="61" spans="1:3" ht="16.2" thickBot="1" x14ac:dyDescent="0.35">
      <c r="A61" s="224" t="s">
        <v>5</v>
      </c>
      <c r="B61" s="225"/>
      <c r="C61" s="15">
        <f>SUM(C58:C60)</f>
        <v>3023.5122483950699</v>
      </c>
    </row>
    <row r="62" spans="1:3" x14ac:dyDescent="0.3">
      <c r="A62" s="1"/>
    </row>
    <row r="64" spans="1:3" x14ac:dyDescent="0.3">
      <c r="A64" s="219" t="s">
        <v>69</v>
      </c>
      <c r="B64" s="219"/>
      <c r="C64" s="219"/>
    </row>
    <row r="65" spans="1:4" ht="16.2" thickBot="1" x14ac:dyDescent="0.35"/>
    <row r="66" spans="1:4" ht="16.2" thickBot="1" x14ac:dyDescent="0.35">
      <c r="A66" s="7">
        <v>3</v>
      </c>
      <c r="B66" s="33" t="s">
        <v>70</v>
      </c>
      <c r="C66" s="33" t="s">
        <v>55</v>
      </c>
      <c r="D66" s="33" t="s">
        <v>35</v>
      </c>
    </row>
    <row r="67" spans="1:4" ht="16.2" thickBot="1" x14ac:dyDescent="0.35">
      <c r="A67" s="8" t="s">
        <v>36</v>
      </c>
      <c r="B67" s="11" t="s">
        <v>71</v>
      </c>
      <c r="C67" s="23">
        <f>'Posto 12x36 diurno ISS 3%'!C65</f>
        <v>4.1999999999999997E-3</v>
      </c>
      <c r="D67" s="15">
        <f>(C$14)*C67</f>
        <v>13.180031647592726</v>
      </c>
    </row>
    <row r="68" spans="1:4" ht="16.2" thickBot="1" x14ac:dyDescent="0.35">
      <c r="A68" s="8" t="s">
        <v>38</v>
      </c>
      <c r="B68" s="17" t="s">
        <v>72</v>
      </c>
      <c r="C68" s="23">
        <f>'Posto 12x36 diurno ISS 3%'!C66</f>
        <v>3.3599999999999998E-4</v>
      </c>
      <c r="D68" s="15">
        <f t="shared" ref="D68:D72" si="1">(C$14)*C68</f>
        <v>1.0544025318074182</v>
      </c>
    </row>
    <row r="69" spans="1:4" ht="16.2" thickBot="1" x14ac:dyDescent="0.35">
      <c r="A69" s="8" t="s">
        <v>39</v>
      </c>
      <c r="B69" s="11" t="s">
        <v>73</v>
      </c>
      <c r="C69" s="23">
        <f>'Posto 12x36 diurno ISS 3%'!C67</f>
        <v>3.5999999999999999E-3</v>
      </c>
      <c r="D69" s="15">
        <f t="shared" si="1"/>
        <v>11.297169983650909</v>
      </c>
    </row>
    <row r="70" spans="1:4" ht="16.2" thickBot="1" x14ac:dyDescent="0.35">
      <c r="A70" s="8" t="s">
        <v>40</v>
      </c>
      <c r="B70" s="11" t="s">
        <v>74</v>
      </c>
      <c r="C70" s="23">
        <f>'Posto 12x36 diurno ISS 3%'!C68</f>
        <v>1.9400000000000001E-2</v>
      </c>
      <c r="D70" s="15">
        <f t="shared" si="1"/>
        <v>60.879193800785458</v>
      </c>
    </row>
    <row r="71" spans="1:4" ht="16.2" thickBot="1" x14ac:dyDescent="0.35">
      <c r="A71" s="8" t="s">
        <v>41</v>
      </c>
      <c r="B71" s="11" t="s">
        <v>75</v>
      </c>
      <c r="C71" s="23">
        <f>'Posto 12x36 diurno ISS 3%'!C69</f>
        <v>7.1392000000000009E-3</v>
      </c>
      <c r="D71" s="15">
        <f t="shared" si="1"/>
        <v>22.403543318689049</v>
      </c>
    </row>
    <row r="72" spans="1:4" ht="16.2" thickBot="1" x14ac:dyDescent="0.35">
      <c r="A72" s="8" t="s">
        <v>43</v>
      </c>
      <c r="B72" s="11" t="s">
        <v>76</v>
      </c>
      <c r="C72" s="23">
        <f>'Posto 12x36 diurno ISS 3%'!C70</f>
        <v>3.6400000000000002E-2</v>
      </c>
      <c r="D72" s="15">
        <f t="shared" si="1"/>
        <v>114.22694094580365</v>
      </c>
    </row>
    <row r="73" spans="1:4" ht="16.2" thickBot="1" x14ac:dyDescent="0.35">
      <c r="A73" s="224" t="s">
        <v>5</v>
      </c>
      <c r="B73" s="225"/>
      <c r="C73" s="18">
        <f>SUM(C67:C72)</f>
        <v>7.1075200000000005E-2</v>
      </c>
      <c r="D73" s="15">
        <f>SUM(D67:D72)</f>
        <v>223.04128222832918</v>
      </c>
    </row>
    <row r="76" spans="1:4" x14ac:dyDescent="0.3">
      <c r="A76" s="219" t="s">
        <v>77</v>
      </c>
      <c r="B76" s="219"/>
      <c r="C76" s="219"/>
    </row>
    <row r="79" spans="1:4" x14ac:dyDescent="0.3">
      <c r="A79" s="223" t="s">
        <v>78</v>
      </c>
      <c r="B79" s="223"/>
      <c r="C79" s="223"/>
    </row>
    <row r="80" spans="1:4" ht="16.2" thickBot="1" x14ac:dyDescent="0.35">
      <c r="A80" s="6"/>
    </row>
    <row r="81" spans="1:5" ht="16.2" thickBot="1" x14ac:dyDescent="0.35">
      <c r="A81" s="7" t="s">
        <v>79</v>
      </c>
      <c r="B81" s="33" t="s">
        <v>80</v>
      </c>
      <c r="C81" s="33" t="s">
        <v>55</v>
      </c>
      <c r="D81" s="33" t="s">
        <v>35</v>
      </c>
    </row>
    <row r="82" spans="1:5" ht="16.2" thickBot="1" x14ac:dyDescent="0.35">
      <c r="A82" s="8" t="s">
        <v>36</v>
      </c>
      <c r="B82" s="9" t="s">
        <v>152</v>
      </c>
      <c r="C82" s="58">
        <f>'Posto 12x36 diurno ISS 3%'!C80</f>
        <v>6.9444444444444441E-3</v>
      </c>
      <c r="D82" s="15">
        <f>(C$14)*C82</f>
        <v>21.792380369696968</v>
      </c>
    </row>
    <row r="83" spans="1:5" ht="16.2" thickBot="1" x14ac:dyDescent="0.35">
      <c r="A83" s="8" t="s">
        <v>38</v>
      </c>
      <c r="B83" s="9" t="s">
        <v>80</v>
      </c>
      <c r="C83" s="54">
        <f>'Posto 12x36 diurno ISS 3%'!C81</f>
        <v>8.0000000000000002E-3</v>
      </c>
      <c r="D83" s="15">
        <f>(C$14)*C83</f>
        <v>25.10482218589091</v>
      </c>
    </row>
    <row r="84" spans="1:5" ht="16.2" thickBot="1" x14ac:dyDescent="0.35">
      <c r="A84" s="8" t="s">
        <v>39</v>
      </c>
      <c r="B84" s="9" t="s">
        <v>81</v>
      </c>
      <c r="C84" s="54">
        <f>'Posto 12x36 diurno ISS 3%'!C82</f>
        <v>1.4999999999999999E-2</v>
      </c>
      <c r="D84" s="15">
        <f>(C$14)*C84</f>
        <v>47.071541598545451</v>
      </c>
    </row>
    <row r="85" spans="1:5" ht="16.2" thickBot="1" x14ac:dyDescent="0.35">
      <c r="A85" s="8" t="s">
        <v>40</v>
      </c>
      <c r="B85" s="9" t="s">
        <v>82</v>
      </c>
      <c r="C85" s="54">
        <f>'Posto 12x36 diurno ISS 3%'!C83</f>
        <v>0.01</v>
      </c>
      <c r="D85" s="15">
        <f t="shared" ref="D85:D88" si="2">(C$14)*C85</f>
        <v>31.381027732363638</v>
      </c>
    </row>
    <row r="86" spans="1:5" ht="16.2" thickBot="1" x14ac:dyDescent="0.35">
      <c r="A86" s="8" t="s">
        <v>41</v>
      </c>
      <c r="B86" s="9" t="s">
        <v>83</v>
      </c>
      <c r="C86" s="54">
        <f>'Posto 12x36 diurno ISS 3%'!C84</f>
        <v>0.01</v>
      </c>
      <c r="D86" s="15">
        <f t="shared" si="2"/>
        <v>31.381027732363638</v>
      </c>
    </row>
    <row r="87" spans="1:5" ht="16.2" thickBot="1" x14ac:dyDescent="0.35">
      <c r="A87" s="8" t="s">
        <v>43</v>
      </c>
      <c r="B87" s="55" t="str">
        <f>'Posto 12x36 diurno ISS 3%'!B85</f>
        <v>Outros (especificar)</v>
      </c>
      <c r="C87" s="54">
        <f>'Posto 12x36 diurno ISS 3%'!C85</f>
        <v>0</v>
      </c>
      <c r="D87" s="15">
        <f t="shared" si="2"/>
        <v>0</v>
      </c>
    </row>
    <row r="88" spans="1:5" ht="16.2" thickBot="1" x14ac:dyDescent="0.35">
      <c r="A88" s="224" t="s">
        <v>62</v>
      </c>
      <c r="B88" s="225"/>
      <c r="C88" s="18">
        <f>SUM(C82:C87)</f>
        <v>4.9944444444444444E-2</v>
      </c>
      <c r="D88" s="15">
        <f t="shared" si="2"/>
        <v>156.7307996188606</v>
      </c>
    </row>
    <row r="91" spans="1:5" x14ac:dyDescent="0.3">
      <c r="A91" s="223" t="s">
        <v>84</v>
      </c>
      <c r="B91" s="223"/>
      <c r="C91" s="223"/>
    </row>
    <row r="92" spans="1:5" ht="16.2" thickBot="1" x14ac:dyDescent="0.35">
      <c r="A92" s="6"/>
    </row>
    <row r="93" spans="1:5" ht="16.2" thickBot="1" x14ac:dyDescent="0.35">
      <c r="A93" s="7" t="s">
        <v>85</v>
      </c>
      <c r="B93" s="39" t="s">
        <v>124</v>
      </c>
      <c r="C93" s="33" t="s">
        <v>35</v>
      </c>
      <c r="E93" s="41">
        <f>C10+C11</f>
        <v>2659.6959999999999</v>
      </c>
    </row>
    <row r="94" spans="1:5" ht="16.2" thickBot="1" x14ac:dyDescent="0.35">
      <c r="A94" s="8" t="s">
        <v>36</v>
      </c>
      <c r="B94" s="9" t="s">
        <v>100</v>
      </c>
      <c r="C94" s="37">
        <f>E98</f>
        <v>294.40416814545461</v>
      </c>
      <c r="E94" s="41"/>
    </row>
    <row r="95" spans="1:5" ht="16.2" thickBot="1" x14ac:dyDescent="0.35">
      <c r="A95" s="224" t="s">
        <v>5</v>
      </c>
      <c r="B95" s="225"/>
      <c r="C95" s="37">
        <f>C94</f>
        <v>294.40416814545461</v>
      </c>
      <c r="E95" s="41"/>
    </row>
    <row r="96" spans="1:5" x14ac:dyDescent="0.3">
      <c r="E96" s="41">
        <f>E93/220</f>
        <v>12.089527272727272</v>
      </c>
    </row>
    <row r="97" spans="1:5" x14ac:dyDescent="0.3">
      <c r="E97" s="41">
        <f>E96*1.6</f>
        <v>19.343243636363638</v>
      </c>
    </row>
    <row r="98" spans="1:5" x14ac:dyDescent="0.3">
      <c r="A98" s="223" t="s">
        <v>87</v>
      </c>
      <c r="B98" s="223"/>
      <c r="C98" s="223"/>
      <c r="E98" s="41">
        <f>E97*15.22</f>
        <v>294.40416814545461</v>
      </c>
    </row>
    <row r="99" spans="1:5" ht="16.2" thickBot="1" x14ac:dyDescent="0.35">
      <c r="A99" s="6"/>
    </row>
    <row r="100" spans="1:5" ht="16.2" thickBot="1" x14ac:dyDescent="0.35">
      <c r="A100" s="7">
        <v>4</v>
      </c>
      <c r="B100" s="33" t="s">
        <v>88</v>
      </c>
      <c r="C100" s="33" t="s">
        <v>35</v>
      </c>
    </row>
    <row r="101" spans="1:5" ht="16.2" thickBot="1" x14ac:dyDescent="0.35">
      <c r="A101" s="8" t="s">
        <v>79</v>
      </c>
      <c r="B101" s="9" t="s">
        <v>80</v>
      </c>
      <c r="C101" s="15">
        <f>D88</f>
        <v>156.7307996188606</v>
      </c>
    </row>
    <row r="102" spans="1:5" ht="16.2" thickBot="1" x14ac:dyDescent="0.35">
      <c r="A102" s="8" t="s">
        <v>85</v>
      </c>
      <c r="B102" s="9" t="s">
        <v>86</v>
      </c>
      <c r="C102" s="15">
        <f>C95</f>
        <v>294.40416814545461</v>
      </c>
    </row>
    <row r="103" spans="1:5" ht="16.2" thickBot="1" x14ac:dyDescent="0.35">
      <c r="A103" s="224" t="s">
        <v>5</v>
      </c>
      <c r="B103" s="225"/>
      <c r="C103" s="25">
        <f>C101+C102</f>
        <v>451.13496776431521</v>
      </c>
    </row>
    <row r="106" spans="1:5" x14ac:dyDescent="0.3">
      <c r="A106" s="219" t="s">
        <v>89</v>
      </c>
      <c r="B106" s="219"/>
      <c r="C106" s="219"/>
    </row>
    <row r="107" spans="1:5" ht="16.2" thickBot="1" x14ac:dyDescent="0.35"/>
    <row r="108" spans="1:5" ht="16.2" thickBot="1" x14ac:dyDescent="0.35">
      <c r="A108" s="7">
        <v>5</v>
      </c>
      <c r="B108" s="12" t="s">
        <v>21</v>
      </c>
      <c r="C108" s="33" t="s">
        <v>35</v>
      </c>
    </row>
    <row r="109" spans="1:5" ht="16.2" thickBot="1" x14ac:dyDescent="0.35">
      <c r="A109" s="8" t="s">
        <v>36</v>
      </c>
      <c r="B109" s="9" t="s">
        <v>90</v>
      </c>
      <c r="C109" s="57">
        <f>'Planilha de Apoio - P 12 x 36'!C50</f>
        <v>285.41666666666669</v>
      </c>
    </row>
    <row r="110" spans="1:5" ht="16.2" thickBot="1" x14ac:dyDescent="0.35">
      <c r="A110" s="8" t="s">
        <v>38</v>
      </c>
      <c r="B110" s="9" t="s">
        <v>91</v>
      </c>
      <c r="C110" s="57">
        <f>'Planilha de Apoio - P 12 x 36'!D34</f>
        <v>4.75</v>
      </c>
    </row>
    <row r="111" spans="1:5" ht="16.2" thickBot="1" x14ac:dyDescent="0.35">
      <c r="A111" s="8" t="s">
        <v>39</v>
      </c>
      <c r="B111" s="50" t="s">
        <v>139</v>
      </c>
      <c r="C111" s="47"/>
    </row>
    <row r="112" spans="1:5" ht="16.2" thickBot="1" x14ac:dyDescent="0.35">
      <c r="A112" s="8" t="s">
        <v>40</v>
      </c>
      <c r="B112" s="50" t="s">
        <v>139</v>
      </c>
      <c r="C112" s="47"/>
    </row>
    <row r="113" spans="1:7" ht="16.2" thickBot="1" x14ac:dyDescent="0.35">
      <c r="A113" s="224" t="s">
        <v>62</v>
      </c>
      <c r="B113" s="225"/>
      <c r="C113" s="15">
        <f>SUM(C109:C112)</f>
        <v>290.16666666666669</v>
      </c>
    </row>
    <row r="116" spans="1:7" x14ac:dyDescent="0.3">
      <c r="A116" s="219" t="s">
        <v>92</v>
      </c>
      <c r="B116" s="219"/>
      <c r="C116" s="219"/>
    </row>
    <row r="117" spans="1:7" ht="16.2" thickBot="1" x14ac:dyDescent="0.35"/>
    <row r="118" spans="1:7" ht="16.2" thickBot="1" x14ac:dyDescent="0.35">
      <c r="A118" s="7">
        <v>6</v>
      </c>
      <c r="B118" s="12" t="s">
        <v>22</v>
      </c>
      <c r="C118" s="33" t="s">
        <v>55</v>
      </c>
      <c r="D118" s="33" t="s">
        <v>35</v>
      </c>
    </row>
    <row r="119" spans="1:7" ht="16.2" thickBot="1" x14ac:dyDescent="0.35">
      <c r="A119" s="8" t="s">
        <v>36</v>
      </c>
      <c r="B119" s="29" t="s">
        <v>23</v>
      </c>
      <c r="C119" s="46">
        <f>'Posto 12x36 diurno ISS 3%'!C117</f>
        <v>0.1</v>
      </c>
      <c r="D119" s="31">
        <f>C119*C138</f>
        <v>712.59579382907441</v>
      </c>
    </row>
    <row r="120" spans="1:7" ht="16.2" thickBot="1" x14ac:dyDescent="0.35">
      <c r="A120" s="8" t="s">
        <v>38</v>
      </c>
      <c r="B120" s="29" t="s">
        <v>25</v>
      </c>
      <c r="C120" s="46">
        <f>C119</f>
        <v>0.1</v>
      </c>
      <c r="D120" s="31">
        <f>C120*(C138+D119)</f>
        <v>783.85537321198194</v>
      </c>
    </row>
    <row r="121" spans="1:7" ht="16.2" thickBot="1" x14ac:dyDescent="0.35">
      <c r="A121" s="8" t="s">
        <v>39</v>
      </c>
      <c r="B121" s="9" t="s">
        <v>24</v>
      </c>
      <c r="C121" s="10"/>
      <c r="D121" s="15"/>
      <c r="E121" s="43"/>
      <c r="F121" s="43"/>
      <c r="G121" s="43"/>
    </row>
    <row r="122" spans="1:7" ht="16.2" thickBot="1" x14ac:dyDescent="0.35">
      <c r="A122" s="8"/>
      <c r="B122" s="29" t="s">
        <v>104</v>
      </c>
      <c r="C122" s="30">
        <f>C123+C124</f>
        <v>3.6499999999999998E-2</v>
      </c>
      <c r="D122" s="31">
        <f>C122*E128</f>
        <v>337.13758151538372</v>
      </c>
      <c r="E122" s="40">
        <f>C123+C124+C126</f>
        <v>6.6500000000000004E-2</v>
      </c>
      <c r="F122" s="43"/>
      <c r="G122" s="43"/>
    </row>
    <row r="123" spans="1:7" ht="16.2" thickBot="1" x14ac:dyDescent="0.35">
      <c r="A123" s="8"/>
      <c r="B123" s="9" t="s">
        <v>102</v>
      </c>
      <c r="C123" s="10">
        <v>0.03</v>
      </c>
      <c r="D123" s="15">
        <f>C123*E128</f>
        <v>277.09938206743868</v>
      </c>
      <c r="E123" s="43"/>
      <c r="F123" s="43"/>
      <c r="G123" s="43"/>
    </row>
    <row r="124" spans="1:7" ht="16.2" thickBot="1" x14ac:dyDescent="0.35">
      <c r="A124" s="8"/>
      <c r="B124" s="9" t="s">
        <v>103</v>
      </c>
      <c r="C124" s="10">
        <v>6.4999999999999997E-3</v>
      </c>
      <c r="D124" s="15">
        <f>C124*E128</f>
        <v>60.03819944794504</v>
      </c>
      <c r="E124" s="43"/>
      <c r="F124" s="43"/>
      <c r="G124" s="43"/>
    </row>
    <row r="125" spans="1:7" ht="16.2" thickBot="1" x14ac:dyDescent="0.35">
      <c r="A125" s="8"/>
      <c r="B125" s="29" t="s">
        <v>105</v>
      </c>
      <c r="C125" s="30">
        <v>0</v>
      </c>
      <c r="D125" s="31">
        <f>C125*E128</f>
        <v>0</v>
      </c>
      <c r="E125" s="43"/>
      <c r="F125" s="43"/>
      <c r="G125" s="43"/>
    </row>
    <row r="126" spans="1:7" ht="16.2" thickBot="1" x14ac:dyDescent="0.35">
      <c r="A126" s="8"/>
      <c r="B126" s="29" t="s">
        <v>106</v>
      </c>
      <c r="C126" s="30">
        <v>0.03</v>
      </c>
      <c r="D126" s="31">
        <f>C126*E128</f>
        <v>277.09938206743868</v>
      </c>
      <c r="E126" s="43"/>
      <c r="F126" s="43"/>
      <c r="G126" s="43"/>
    </row>
    <row r="127" spans="1:7" ht="16.2" thickBot="1" x14ac:dyDescent="0.35">
      <c r="A127" s="227" t="s">
        <v>62</v>
      </c>
      <c r="B127" s="228"/>
      <c r="C127" s="30">
        <f>C119+C120+C122+C125+C126</f>
        <v>0.26650000000000001</v>
      </c>
      <c r="D127" s="31">
        <f>D119+D120+D122+D125+D126</f>
        <v>2110.6881306238788</v>
      </c>
      <c r="E127" s="43"/>
      <c r="F127" s="59">
        <f>C138+D119+D120</f>
        <v>8622.4091053318007</v>
      </c>
      <c r="G127" s="43"/>
    </row>
    <row r="128" spans="1:7" x14ac:dyDescent="0.3">
      <c r="E128" s="43">
        <f>(F127)/(100%-E122)</f>
        <v>9236.6460689146224</v>
      </c>
      <c r="F128" s="43"/>
      <c r="G128" s="43"/>
    </row>
    <row r="129" spans="1:7" x14ac:dyDescent="0.3">
      <c r="E129" s="43"/>
      <c r="F129" s="43"/>
      <c r="G129" s="43"/>
    </row>
    <row r="130" spans="1:7" x14ac:dyDescent="0.3">
      <c r="A130" s="219" t="s">
        <v>93</v>
      </c>
      <c r="B130" s="219"/>
      <c r="C130" s="219"/>
      <c r="E130" s="43"/>
      <c r="F130" s="43"/>
      <c r="G130" s="43"/>
    </row>
    <row r="131" spans="1:7" ht="16.2" thickBot="1" x14ac:dyDescent="0.35">
      <c r="E131" s="43"/>
      <c r="F131" s="43"/>
      <c r="G131" s="43"/>
    </row>
    <row r="132" spans="1:7" ht="16.2" thickBot="1" x14ac:dyDescent="0.35">
      <c r="A132" s="7"/>
      <c r="B132" s="33" t="s">
        <v>94</v>
      </c>
      <c r="C132" s="33" t="s">
        <v>35</v>
      </c>
      <c r="E132" s="43"/>
      <c r="F132" s="43"/>
      <c r="G132" s="43"/>
    </row>
    <row r="133" spans="1:7" ht="16.2" thickBot="1" x14ac:dyDescent="0.35">
      <c r="A133" s="14" t="s">
        <v>36</v>
      </c>
      <c r="B133" s="9" t="s">
        <v>33</v>
      </c>
      <c r="C133" s="28">
        <f>C14</f>
        <v>3138.1027732363636</v>
      </c>
      <c r="E133" s="43"/>
      <c r="F133" s="43"/>
      <c r="G133" s="43"/>
    </row>
    <row r="134" spans="1:7" ht="16.2" thickBot="1" x14ac:dyDescent="0.35">
      <c r="A134" s="14" t="s">
        <v>38</v>
      </c>
      <c r="B134" s="9" t="s">
        <v>46</v>
      </c>
      <c r="C134" s="28">
        <f>C61</f>
        <v>3023.5122483950699</v>
      </c>
    </row>
    <row r="135" spans="1:7" ht="16.2" thickBot="1" x14ac:dyDescent="0.35">
      <c r="A135" s="14" t="s">
        <v>39</v>
      </c>
      <c r="B135" s="9" t="s">
        <v>69</v>
      </c>
      <c r="C135" s="28">
        <f>D73</f>
        <v>223.04128222832918</v>
      </c>
    </row>
    <row r="136" spans="1:7" ht="16.2" thickBot="1" x14ac:dyDescent="0.35">
      <c r="A136" s="14" t="s">
        <v>40</v>
      </c>
      <c r="B136" s="9" t="s">
        <v>77</v>
      </c>
      <c r="C136" s="28">
        <f>C103</f>
        <v>451.13496776431521</v>
      </c>
    </row>
    <row r="137" spans="1:7" ht="16.2" thickBot="1" x14ac:dyDescent="0.35">
      <c r="A137" s="14" t="s">
        <v>41</v>
      </c>
      <c r="B137" s="9" t="s">
        <v>89</v>
      </c>
      <c r="C137" s="28">
        <f>C113</f>
        <v>290.16666666666669</v>
      </c>
    </row>
    <row r="138" spans="1:7" ht="16.5" customHeight="1" thickBot="1" x14ac:dyDescent="0.35">
      <c r="A138" s="224" t="s">
        <v>95</v>
      </c>
      <c r="B138" s="225"/>
      <c r="C138" s="28">
        <f>SUM(C133:C137)</f>
        <v>7125.9579382907441</v>
      </c>
    </row>
    <row r="139" spans="1:7" ht="16.2" thickBot="1" x14ac:dyDescent="0.35">
      <c r="A139" s="14" t="s">
        <v>43</v>
      </c>
      <c r="B139" s="9" t="s">
        <v>96</v>
      </c>
      <c r="C139" s="28">
        <f>D127</f>
        <v>2110.6881306238788</v>
      </c>
    </row>
    <row r="140" spans="1:7" ht="16.5" customHeight="1" x14ac:dyDescent="0.3">
      <c r="A140" s="229" t="s">
        <v>97</v>
      </c>
      <c r="B140" s="230"/>
      <c r="C140" s="34">
        <f>C138+C139</f>
        <v>9236.6460689146224</v>
      </c>
    </row>
    <row r="141" spans="1:7" ht="16.5" customHeight="1" x14ac:dyDescent="0.3">
      <c r="A141" s="231" t="s">
        <v>115</v>
      </c>
      <c r="B141" s="232"/>
      <c r="C141" s="36">
        <v>2</v>
      </c>
    </row>
    <row r="142" spans="1:7" ht="16.2" thickBot="1" x14ac:dyDescent="0.35">
      <c r="A142" s="233" t="s">
        <v>116</v>
      </c>
      <c r="B142" s="233"/>
      <c r="C142" s="35">
        <f>C140*C141</f>
        <v>18473.292137829245</v>
      </c>
    </row>
  </sheetData>
  <sheetProtection password="CDE0" sheet="1" objects="1" scenarios="1"/>
  <mergeCells count="35">
    <mergeCell ref="A130:C130"/>
    <mergeCell ref="A138:B138"/>
    <mergeCell ref="A140:B140"/>
    <mergeCell ref="A141:B141"/>
    <mergeCell ref="A142:B142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4" max="3" man="1"/>
    <brk id="97" max="3" man="1"/>
  </rowBreaks>
  <ignoredErrors>
    <ignoredError sqref="B50:B51 C46 B44:B49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opLeftCell="A103" workbookViewId="0">
      <selection activeCell="E124" sqref="E124"/>
    </sheetView>
  </sheetViews>
  <sheetFormatPr defaultColWidth="9.109375" defaultRowHeight="15.6" x14ac:dyDescent="0.3"/>
  <cols>
    <col min="1" max="1" width="16.33203125" style="83" customWidth="1"/>
    <col min="2" max="2" width="72.109375" style="83" customWidth="1"/>
    <col min="3" max="3" width="18" style="83" customWidth="1"/>
    <col min="4" max="4" width="14.33203125" style="83" customWidth="1"/>
    <col min="5" max="5" width="12.6640625" style="83" customWidth="1"/>
    <col min="6" max="6" width="14" style="83" bestFit="1" customWidth="1"/>
    <col min="7" max="7" width="15.109375" style="83" customWidth="1"/>
    <col min="8" max="16384" width="9.109375" style="83"/>
  </cols>
  <sheetData>
    <row r="1" spans="1:5" ht="22.8" x14ac:dyDescent="0.4">
      <c r="A1" s="203" t="s">
        <v>98</v>
      </c>
      <c r="B1" s="203"/>
      <c r="C1" s="203"/>
      <c r="D1" s="203"/>
    </row>
    <row r="2" spans="1:5" ht="22.8" x14ac:dyDescent="0.4">
      <c r="A2" s="203" t="s">
        <v>99</v>
      </c>
      <c r="B2" s="203"/>
      <c r="C2" s="203"/>
      <c r="D2" s="203"/>
    </row>
    <row r="3" spans="1:5" x14ac:dyDescent="0.3">
      <c r="A3" s="205"/>
      <c r="B3" s="205"/>
      <c r="C3" s="205"/>
      <c r="D3" s="205"/>
    </row>
    <row r="4" spans="1:5" x14ac:dyDescent="0.3">
      <c r="A4" s="84" t="s">
        <v>107</v>
      </c>
      <c r="B4" s="207" t="s">
        <v>169</v>
      </c>
      <c r="C4" s="207"/>
    </row>
    <row r="5" spans="1:5" x14ac:dyDescent="0.3">
      <c r="A5" s="84" t="s">
        <v>108</v>
      </c>
      <c r="B5" s="207" t="s">
        <v>137</v>
      </c>
      <c r="C5" s="207"/>
      <c r="E5" s="85"/>
    </row>
    <row r="6" spans="1:5" x14ac:dyDescent="0.3">
      <c r="A6" s="84"/>
      <c r="B6" s="207"/>
      <c r="C6" s="207"/>
    </row>
    <row r="7" spans="1:5" x14ac:dyDescent="0.3">
      <c r="A7" s="204" t="s">
        <v>33</v>
      </c>
      <c r="B7" s="204"/>
      <c r="C7" s="204"/>
    </row>
    <row r="8" spans="1:5" ht="16.2" thickBot="1" x14ac:dyDescent="0.35"/>
    <row r="9" spans="1:5" ht="16.2" thickBot="1" x14ac:dyDescent="0.35">
      <c r="A9" s="86">
        <v>1</v>
      </c>
      <c r="B9" s="87" t="s">
        <v>34</v>
      </c>
      <c r="C9" s="87" t="s">
        <v>35</v>
      </c>
    </row>
    <row r="10" spans="1:5" ht="16.2" thickBot="1" x14ac:dyDescent="0.35">
      <c r="A10" s="88" t="s">
        <v>36</v>
      </c>
      <c r="B10" s="89" t="s">
        <v>37</v>
      </c>
      <c r="C10" s="90">
        <v>2045.92</v>
      </c>
    </row>
    <row r="11" spans="1:5" ht="16.2" thickBot="1" x14ac:dyDescent="0.35">
      <c r="A11" s="88" t="s">
        <v>38</v>
      </c>
      <c r="B11" s="89" t="s">
        <v>112</v>
      </c>
      <c r="C11" s="90">
        <f>C10*0.3</f>
        <v>613.77599999999995</v>
      </c>
    </row>
    <row r="12" spans="1:5" ht="16.2" thickBot="1" x14ac:dyDescent="0.35">
      <c r="A12" s="201" t="s">
        <v>5</v>
      </c>
      <c r="B12" s="202"/>
      <c r="C12" s="91">
        <f>SUM(C10:C11)</f>
        <v>2659.6959999999999</v>
      </c>
    </row>
    <row r="15" spans="1:5" x14ac:dyDescent="0.3">
      <c r="A15" s="200" t="s">
        <v>46</v>
      </c>
      <c r="B15" s="200"/>
      <c r="C15" s="200"/>
    </row>
    <row r="16" spans="1:5" x14ac:dyDescent="0.3">
      <c r="A16" s="92"/>
    </row>
    <row r="17" spans="1:4" x14ac:dyDescent="0.3">
      <c r="A17" s="197" t="s">
        <v>47</v>
      </c>
      <c r="B17" s="197"/>
      <c r="C17" s="197"/>
    </row>
    <row r="18" spans="1:4" ht="16.2" thickBot="1" x14ac:dyDescent="0.35"/>
    <row r="19" spans="1:4" ht="16.2" thickBot="1" x14ac:dyDescent="0.35">
      <c r="A19" s="86" t="s">
        <v>48</v>
      </c>
      <c r="B19" s="87" t="s">
        <v>49</v>
      </c>
      <c r="C19" s="87" t="s">
        <v>55</v>
      </c>
      <c r="D19" s="87" t="s">
        <v>35</v>
      </c>
    </row>
    <row r="20" spans="1:4" ht="16.2" thickBot="1" x14ac:dyDescent="0.35">
      <c r="A20" s="88" t="s">
        <v>36</v>
      </c>
      <c r="B20" s="93" t="s">
        <v>50</v>
      </c>
      <c r="C20" s="94">
        <f>'Posto 12x36 diurno ISS 3%'!C20</f>
        <v>8.3299999999999999E-2</v>
      </c>
      <c r="D20" s="95">
        <f>C$12*C20</f>
        <v>221.5526768</v>
      </c>
    </row>
    <row r="21" spans="1:4" ht="16.2" thickBot="1" x14ac:dyDescent="0.35">
      <c r="A21" s="88" t="s">
        <v>38</v>
      </c>
      <c r="B21" s="96" t="s">
        <v>51</v>
      </c>
      <c r="C21" s="94">
        <f>'Posto 12x36 diurno ISS 3%'!C21</f>
        <v>0.121</v>
      </c>
      <c r="D21" s="98">
        <f>C$12*C21</f>
        <v>321.823216</v>
      </c>
    </row>
    <row r="22" spans="1:4" ht="16.2" thickBot="1" x14ac:dyDescent="0.35">
      <c r="A22" s="198" t="s">
        <v>5</v>
      </c>
      <c r="B22" s="199"/>
      <c r="C22" s="99">
        <f>SUM(C20:C21)</f>
        <v>0.20429999999999998</v>
      </c>
      <c r="D22" s="100">
        <f>C$12*C22</f>
        <v>543.37589279999997</v>
      </c>
    </row>
    <row r="25" spans="1:4" x14ac:dyDescent="0.3">
      <c r="A25" s="206" t="s">
        <v>52</v>
      </c>
      <c r="B25" s="206"/>
      <c r="C25" s="206"/>
      <c r="D25" s="206"/>
    </row>
    <row r="26" spans="1:4" ht="16.2" thickBot="1" x14ac:dyDescent="0.35"/>
    <row r="27" spans="1:4" ht="16.2" thickBot="1" x14ac:dyDescent="0.35">
      <c r="A27" s="86" t="s">
        <v>53</v>
      </c>
      <c r="B27" s="87" t="s">
        <v>54</v>
      </c>
      <c r="C27" s="87" t="s">
        <v>55</v>
      </c>
      <c r="D27" s="87" t="s">
        <v>35</v>
      </c>
    </row>
    <row r="28" spans="1:4" ht="16.2" thickBot="1" x14ac:dyDescent="0.35">
      <c r="A28" s="88" t="s">
        <v>36</v>
      </c>
      <c r="B28" s="89" t="s">
        <v>56</v>
      </c>
      <c r="C28" s="94">
        <f>'Posto 12x36 diurno ISS 3%'!C28</f>
        <v>0.2</v>
      </c>
      <c r="D28" s="98">
        <f t="shared" ref="D28:D36" si="0">(D$22+C$12)*C28</f>
        <v>640.61437855999998</v>
      </c>
    </row>
    <row r="29" spans="1:4" ht="16.2" thickBot="1" x14ac:dyDescent="0.35">
      <c r="A29" s="88" t="s">
        <v>38</v>
      </c>
      <c r="B29" s="89" t="s">
        <v>57</v>
      </c>
      <c r="C29" s="94">
        <f>'Posto 12x36 diurno ISS 3%'!C29</f>
        <v>2.5000000000000001E-2</v>
      </c>
      <c r="D29" s="98">
        <f t="shared" si="0"/>
        <v>80.076797319999997</v>
      </c>
    </row>
    <row r="30" spans="1:4" ht="16.2" thickBot="1" x14ac:dyDescent="0.35">
      <c r="A30" s="88" t="s">
        <v>39</v>
      </c>
      <c r="B30" s="89" t="s">
        <v>58</v>
      </c>
      <c r="C30" s="94">
        <f>'Posto 12x36 diurno ISS 3%'!C30</f>
        <v>0.03</v>
      </c>
      <c r="D30" s="98">
        <f t="shared" si="0"/>
        <v>96.092156783999982</v>
      </c>
    </row>
    <row r="31" spans="1:4" ht="16.2" thickBot="1" x14ac:dyDescent="0.35">
      <c r="A31" s="88" t="s">
        <v>40</v>
      </c>
      <c r="B31" s="89" t="s">
        <v>59</v>
      </c>
      <c r="C31" s="94">
        <f>'Posto 12x36 diurno ISS 3%'!C31</f>
        <v>1.4999999999999999E-2</v>
      </c>
      <c r="D31" s="98">
        <f t="shared" si="0"/>
        <v>48.046078391999991</v>
      </c>
    </row>
    <row r="32" spans="1:4" ht="16.2" thickBot="1" x14ac:dyDescent="0.35">
      <c r="A32" s="88" t="s">
        <v>41</v>
      </c>
      <c r="B32" s="89" t="s">
        <v>60</v>
      </c>
      <c r="C32" s="94">
        <f>'Posto 12x36 diurno ISS 3%'!C32</f>
        <v>0.01</v>
      </c>
      <c r="D32" s="98">
        <f t="shared" si="0"/>
        <v>32.030718927999999</v>
      </c>
    </row>
    <row r="33" spans="1:5" ht="16.2" thickBot="1" x14ac:dyDescent="0.35">
      <c r="A33" s="88" t="s">
        <v>43</v>
      </c>
      <c r="B33" s="89" t="s">
        <v>6</v>
      </c>
      <c r="C33" s="94">
        <f>'Posto 12x36 diurno ISS 3%'!C33</f>
        <v>6.0000000000000001E-3</v>
      </c>
      <c r="D33" s="98">
        <f t="shared" si="0"/>
        <v>19.2184313568</v>
      </c>
    </row>
    <row r="34" spans="1:5" ht="16.2" thickBot="1" x14ac:dyDescent="0.35">
      <c r="A34" s="88" t="s">
        <v>44</v>
      </c>
      <c r="B34" s="89" t="s">
        <v>7</v>
      </c>
      <c r="C34" s="94">
        <f>'Posto 12x36 diurno ISS 3%'!C34</f>
        <v>2E-3</v>
      </c>
      <c r="D34" s="98">
        <f t="shared" si="0"/>
        <v>6.4061437855999994</v>
      </c>
    </row>
    <row r="35" spans="1:5" ht="16.2" thickBot="1" x14ac:dyDescent="0.35">
      <c r="A35" s="88" t="s">
        <v>61</v>
      </c>
      <c r="B35" s="89" t="s">
        <v>8</v>
      </c>
      <c r="C35" s="94">
        <f>'Posto 12x36 diurno ISS 3%'!C35</f>
        <v>0.08</v>
      </c>
      <c r="D35" s="98">
        <f t="shared" si="0"/>
        <v>256.24575142399999</v>
      </c>
    </row>
    <row r="36" spans="1:5" ht="16.2" thickBot="1" x14ac:dyDescent="0.35">
      <c r="A36" s="198" t="s">
        <v>62</v>
      </c>
      <c r="B36" s="199"/>
      <c r="C36" s="101">
        <f>SUM(C28:C35)</f>
        <v>0.36800000000000005</v>
      </c>
      <c r="D36" s="98">
        <f t="shared" si="0"/>
        <v>1178.7304565504</v>
      </c>
      <c r="E36" s="102">
        <f>C36*C22</f>
        <v>7.5182399999999996E-2</v>
      </c>
    </row>
    <row r="39" spans="1:5" x14ac:dyDescent="0.3">
      <c r="A39" s="197" t="s">
        <v>63</v>
      </c>
      <c r="B39" s="197"/>
      <c r="C39" s="197"/>
    </row>
    <row r="40" spans="1:5" ht="16.2" thickBot="1" x14ac:dyDescent="0.35"/>
    <row r="41" spans="1:5" ht="16.2" thickBot="1" x14ac:dyDescent="0.35">
      <c r="A41" s="86" t="s">
        <v>64</v>
      </c>
      <c r="B41" s="87" t="s">
        <v>65</v>
      </c>
      <c r="C41" s="87" t="s">
        <v>35</v>
      </c>
    </row>
    <row r="42" spans="1:5" ht="16.2" thickBot="1" x14ac:dyDescent="0.35">
      <c r="A42" s="88" t="s">
        <v>36</v>
      </c>
      <c r="B42" s="127" t="str">
        <f>'Posto 12x36 diurno ISS 3%'!B42</f>
        <v>Transporte</v>
      </c>
      <c r="C42" s="128">
        <f>'Planilha de Apoio - P 12 x 36'!D14</f>
        <v>75.104800000000012</v>
      </c>
    </row>
    <row r="43" spans="1:5" ht="16.2" thickBot="1" x14ac:dyDescent="0.35">
      <c r="A43" s="88" t="s">
        <v>38</v>
      </c>
      <c r="B43" s="127" t="str">
        <f>'Posto 12x36 diurno ISS 3%'!B43</f>
        <v>Auxílio-Refeição</v>
      </c>
      <c r="C43" s="117">
        <f>'Planilha de Apoio - P 12 x 36'!D21</f>
        <v>461.77480000000003</v>
      </c>
    </row>
    <row r="44" spans="1:5" ht="16.2" thickBot="1" x14ac:dyDescent="0.35">
      <c r="A44" s="88" t="s">
        <v>39</v>
      </c>
      <c r="B44" s="127" t="str">
        <f>'Posto 12x36 diurno ISS 3%'!B44</f>
        <v>Benefício Seguro de Vida em Grupo</v>
      </c>
      <c r="C44" s="117">
        <f>'Posto 12x36 diurno ISS 3%'!C44</f>
        <v>20</v>
      </c>
    </row>
    <row r="45" spans="1:5" ht="16.2" thickBot="1" x14ac:dyDescent="0.35">
      <c r="A45" s="104" t="s">
        <v>40</v>
      </c>
      <c r="B45" s="127" t="str">
        <f>'Posto 12x36 diurno ISS 3%'!B45</f>
        <v>Assistência Médica</v>
      </c>
      <c r="C45" s="117">
        <f>'Planilha de Apoio - P 12 x 36'!D25</f>
        <v>178.57149999999999</v>
      </c>
    </row>
    <row r="46" spans="1:5" ht="16.2" thickBot="1" x14ac:dyDescent="0.35">
      <c r="A46" s="104" t="s">
        <v>41</v>
      </c>
      <c r="B46" s="127" t="str">
        <f>'Posto 12x36 diurno ISS 3%'!B46</f>
        <v>Cesta Básica Suplementar</v>
      </c>
      <c r="C46" s="117">
        <f>'Posto 12x36 diurno ISS 3%'!C46</f>
        <v>178.57149999999999</v>
      </c>
    </row>
    <row r="47" spans="1:5" ht="16.2" thickBot="1" x14ac:dyDescent="0.35">
      <c r="A47" s="104" t="s">
        <v>43</v>
      </c>
      <c r="B47" s="127" t="str">
        <f>'Posto 12x36 diurno ISS 3%'!B47</f>
        <v>Reciclagem</v>
      </c>
      <c r="C47" s="117">
        <f>'Posto 12x36 diurno ISS 3%'!C47</f>
        <v>35</v>
      </c>
    </row>
    <row r="48" spans="1:5" ht="16.2" thickBot="1" x14ac:dyDescent="0.35">
      <c r="A48" s="104" t="s">
        <v>44</v>
      </c>
      <c r="B48" s="127" t="str">
        <f>'Posto 12x36 diurno ISS 3%'!B48</f>
        <v>Participação nos Lucros</v>
      </c>
      <c r="C48" s="117">
        <f>'Posto 12x36 diurno ISS 3%'!C48</f>
        <v>42.623333333333335</v>
      </c>
    </row>
    <row r="49" spans="1:4" ht="16.2" thickBot="1" x14ac:dyDescent="0.35">
      <c r="A49" s="104" t="s">
        <v>61</v>
      </c>
      <c r="B49" s="127" t="str">
        <f>'Posto 12x36 diurno ISS 3%'!B49</f>
        <v>Outro (Especificar)</v>
      </c>
      <c r="C49" s="117">
        <f>'Posto 12x36 diurno ISS 3%'!C49</f>
        <v>0</v>
      </c>
    </row>
    <row r="50" spans="1:4" ht="16.2" thickBot="1" x14ac:dyDescent="0.35">
      <c r="A50" s="201" t="s">
        <v>5</v>
      </c>
      <c r="B50" s="202"/>
      <c r="C50" s="90">
        <f>SUM(C42:C49)</f>
        <v>991.64593333333335</v>
      </c>
    </row>
    <row r="53" spans="1:4" x14ac:dyDescent="0.3">
      <c r="A53" s="197" t="s">
        <v>67</v>
      </c>
      <c r="B53" s="197"/>
      <c r="C53" s="197"/>
    </row>
    <row r="54" spans="1:4" ht="16.2" thickBot="1" x14ac:dyDescent="0.35"/>
    <row r="55" spans="1:4" ht="16.2" thickBot="1" x14ac:dyDescent="0.35">
      <c r="A55" s="86">
        <v>2</v>
      </c>
      <c r="B55" s="87" t="s">
        <v>68</v>
      </c>
      <c r="C55" s="87" t="s">
        <v>35</v>
      </c>
    </row>
    <row r="56" spans="1:4" ht="16.2" thickBot="1" x14ac:dyDescent="0.35">
      <c r="A56" s="88" t="s">
        <v>48</v>
      </c>
      <c r="B56" s="89" t="s">
        <v>49</v>
      </c>
      <c r="C56" s="90">
        <f>D22</f>
        <v>543.37589279999997</v>
      </c>
    </row>
    <row r="57" spans="1:4" ht="16.2" thickBot="1" x14ac:dyDescent="0.35">
      <c r="A57" s="88" t="s">
        <v>53</v>
      </c>
      <c r="B57" s="89" t="s">
        <v>54</v>
      </c>
      <c r="C57" s="90">
        <f>D36</f>
        <v>1178.7304565504</v>
      </c>
    </row>
    <row r="58" spans="1:4" ht="16.2" thickBot="1" x14ac:dyDescent="0.35">
      <c r="A58" s="88" t="s">
        <v>64</v>
      </c>
      <c r="B58" s="89" t="s">
        <v>65</v>
      </c>
      <c r="C58" s="90">
        <f>C50</f>
        <v>991.64593333333335</v>
      </c>
    </row>
    <row r="59" spans="1:4" ht="16.2" thickBot="1" x14ac:dyDescent="0.35">
      <c r="A59" s="198" t="s">
        <v>5</v>
      </c>
      <c r="B59" s="199"/>
      <c r="C59" s="90">
        <f>SUM(C56:C58)</f>
        <v>2713.7522826837335</v>
      </c>
    </row>
    <row r="60" spans="1:4" x14ac:dyDescent="0.3">
      <c r="A60" s="106"/>
    </row>
    <row r="62" spans="1:4" x14ac:dyDescent="0.3">
      <c r="A62" s="200" t="s">
        <v>69</v>
      </c>
      <c r="B62" s="200"/>
      <c r="C62" s="200"/>
    </row>
    <row r="63" spans="1:4" ht="16.2" thickBot="1" x14ac:dyDescent="0.35"/>
    <row r="64" spans="1:4" ht="16.2" thickBot="1" x14ac:dyDescent="0.35">
      <c r="A64" s="86">
        <v>3</v>
      </c>
      <c r="B64" s="87" t="s">
        <v>70</v>
      </c>
      <c r="C64" s="87" t="s">
        <v>55</v>
      </c>
      <c r="D64" s="87" t="s">
        <v>35</v>
      </c>
    </row>
    <row r="65" spans="1:4" ht="16.2" thickBot="1" x14ac:dyDescent="0.35">
      <c r="A65" s="88" t="s">
        <v>36</v>
      </c>
      <c r="B65" s="107" t="s">
        <v>71</v>
      </c>
      <c r="C65" s="94">
        <f>'Posto 12x36 diurno ISS 3%'!C65</f>
        <v>4.1999999999999997E-3</v>
      </c>
      <c r="D65" s="90">
        <f>(C$12)*C65</f>
        <v>11.170723199999999</v>
      </c>
    </row>
    <row r="66" spans="1:4" ht="16.2" thickBot="1" x14ac:dyDescent="0.35">
      <c r="A66" s="88" t="s">
        <v>38</v>
      </c>
      <c r="B66" s="109" t="s">
        <v>72</v>
      </c>
      <c r="C66" s="94">
        <f>'Posto 12x36 diurno ISS 3%'!C66</f>
        <v>3.3599999999999998E-4</v>
      </c>
      <c r="D66" s="90">
        <f>(C$12)*C66</f>
        <v>0.89365785599999992</v>
      </c>
    </row>
    <row r="67" spans="1:4" ht="16.2" thickBot="1" x14ac:dyDescent="0.35">
      <c r="A67" s="88" t="s">
        <v>39</v>
      </c>
      <c r="B67" s="107" t="s">
        <v>125</v>
      </c>
      <c r="C67" s="94">
        <f>'Posto 12x36 diurno ISS 3%'!C67</f>
        <v>3.5999999999999999E-3</v>
      </c>
      <c r="D67" s="90">
        <f>C67*C12</f>
        <v>9.5749055999999992</v>
      </c>
    </row>
    <row r="68" spans="1:4" ht="16.2" thickBot="1" x14ac:dyDescent="0.35">
      <c r="A68" s="88" t="s">
        <v>40</v>
      </c>
      <c r="B68" s="107" t="s">
        <v>74</v>
      </c>
      <c r="C68" s="94">
        <f>'Posto 12x36 diurno ISS 3%'!C68</f>
        <v>1.9400000000000001E-2</v>
      </c>
      <c r="D68" s="90">
        <f>(C$12)*C68</f>
        <v>51.598102400000002</v>
      </c>
    </row>
    <row r="69" spans="1:4" ht="16.2" thickBot="1" x14ac:dyDescent="0.35">
      <c r="A69" s="88" t="s">
        <v>41</v>
      </c>
      <c r="B69" s="107" t="s">
        <v>75</v>
      </c>
      <c r="C69" s="94">
        <f>'Posto 12x36 diurno ISS 3%'!C69</f>
        <v>7.1392000000000009E-3</v>
      </c>
      <c r="D69" s="90">
        <f>C69*C12</f>
        <v>18.988101683200004</v>
      </c>
    </row>
    <row r="70" spans="1:4" ht="16.2" thickBot="1" x14ac:dyDescent="0.35">
      <c r="A70" s="88" t="s">
        <v>43</v>
      </c>
      <c r="B70" s="107" t="s">
        <v>126</v>
      </c>
      <c r="C70" s="94">
        <f>'Posto 12x36 diurno ISS 3%'!C70</f>
        <v>3.6400000000000002E-2</v>
      </c>
      <c r="D70" s="90">
        <f>C70*C12</f>
        <v>96.812934400000003</v>
      </c>
    </row>
    <row r="71" spans="1:4" ht="16.2" thickBot="1" x14ac:dyDescent="0.35">
      <c r="A71" s="198" t="s">
        <v>5</v>
      </c>
      <c r="B71" s="199"/>
      <c r="C71" s="111">
        <f>SUM(C65:C70)</f>
        <v>7.1075200000000005E-2</v>
      </c>
      <c r="D71" s="90">
        <f>SUM(D65:D70)</f>
        <v>189.0384251392</v>
      </c>
    </row>
    <row r="74" spans="1:4" x14ac:dyDescent="0.3">
      <c r="A74" s="200" t="s">
        <v>77</v>
      </c>
      <c r="B74" s="200"/>
      <c r="C74" s="200"/>
    </row>
    <row r="77" spans="1:4" x14ac:dyDescent="0.3">
      <c r="A77" s="197" t="s">
        <v>78</v>
      </c>
      <c r="B77" s="197"/>
      <c r="C77" s="197"/>
    </row>
    <row r="78" spans="1:4" ht="16.2" thickBot="1" x14ac:dyDescent="0.35">
      <c r="A78" s="92"/>
    </row>
    <row r="79" spans="1:4" ht="16.2" thickBot="1" x14ac:dyDescent="0.35">
      <c r="A79" s="86" t="s">
        <v>79</v>
      </c>
      <c r="B79" s="87" t="s">
        <v>80</v>
      </c>
      <c r="C79" s="87" t="s">
        <v>55</v>
      </c>
      <c r="D79" s="87" t="s">
        <v>35</v>
      </c>
    </row>
    <row r="80" spans="1:4" ht="16.2" thickBot="1" x14ac:dyDescent="0.35">
      <c r="A80" s="88" t="s">
        <v>36</v>
      </c>
      <c r="B80" s="89" t="s">
        <v>152</v>
      </c>
      <c r="C80" s="94">
        <f>'Posto 12x36 diurno ISS 3%'!C80</f>
        <v>6.9444444444444441E-3</v>
      </c>
      <c r="D80" s="90">
        <f t="shared" ref="D80:D86" si="1">(C$12)*C80</f>
        <v>18.470111111111109</v>
      </c>
    </row>
    <row r="81" spans="1:6" ht="16.2" thickBot="1" x14ac:dyDescent="0.35">
      <c r="A81" s="88" t="s">
        <v>38</v>
      </c>
      <c r="B81" s="89" t="s">
        <v>80</v>
      </c>
      <c r="C81" s="94">
        <f>'Posto 12x36 diurno ISS 3%'!C81</f>
        <v>8.0000000000000002E-3</v>
      </c>
      <c r="D81" s="90">
        <f t="shared" si="1"/>
        <v>21.277567999999999</v>
      </c>
    </row>
    <row r="82" spans="1:6" ht="16.2" thickBot="1" x14ac:dyDescent="0.35">
      <c r="A82" s="88" t="s">
        <v>39</v>
      </c>
      <c r="B82" s="89" t="s">
        <v>81</v>
      </c>
      <c r="C82" s="94">
        <f>'Posto 12x36 diurno ISS 3%'!C82</f>
        <v>1.4999999999999999E-2</v>
      </c>
      <c r="D82" s="90">
        <f t="shared" si="1"/>
        <v>39.895440000000001</v>
      </c>
    </row>
    <row r="83" spans="1:6" ht="16.2" thickBot="1" x14ac:dyDescent="0.35">
      <c r="A83" s="88" t="s">
        <v>40</v>
      </c>
      <c r="B83" s="89" t="s">
        <v>82</v>
      </c>
      <c r="C83" s="94">
        <f>'Posto 12x36 diurno ISS 3%'!C83</f>
        <v>0.01</v>
      </c>
      <c r="D83" s="90">
        <f t="shared" si="1"/>
        <v>26.596959999999999</v>
      </c>
    </row>
    <row r="84" spans="1:6" ht="16.2" thickBot="1" x14ac:dyDescent="0.35">
      <c r="A84" s="88" t="s">
        <v>41</v>
      </c>
      <c r="B84" s="89" t="s">
        <v>83</v>
      </c>
      <c r="C84" s="94">
        <f>'Posto 12x36 diurno ISS 3%'!C84</f>
        <v>0.01</v>
      </c>
      <c r="D84" s="90">
        <f t="shared" si="1"/>
        <v>26.596959999999999</v>
      </c>
    </row>
    <row r="85" spans="1:6" ht="16.2" thickBot="1" x14ac:dyDescent="0.35">
      <c r="A85" s="88" t="s">
        <v>43</v>
      </c>
      <c r="B85" s="129" t="s">
        <v>45</v>
      </c>
      <c r="C85" s="94">
        <f>'Posto 12x36 diurno ISS 3%'!C85</f>
        <v>0</v>
      </c>
      <c r="D85" s="90">
        <f t="shared" si="1"/>
        <v>0</v>
      </c>
    </row>
    <row r="86" spans="1:6" ht="16.2" thickBot="1" x14ac:dyDescent="0.35">
      <c r="A86" s="198" t="s">
        <v>62</v>
      </c>
      <c r="B86" s="199"/>
      <c r="C86" s="111">
        <f>SUM(C80:C85)</f>
        <v>4.9944444444444444E-2</v>
      </c>
      <c r="D86" s="90">
        <f t="shared" si="1"/>
        <v>132.8370391111111</v>
      </c>
    </row>
    <row r="87" spans="1:6" x14ac:dyDescent="0.3">
      <c r="C87" s="85">
        <f>C22+C36+C71+C86+E36</f>
        <v>0.76850204444444448</v>
      </c>
    </row>
    <row r="89" spans="1:6" x14ac:dyDescent="0.3">
      <c r="A89" s="197" t="s">
        <v>84</v>
      </c>
      <c r="B89" s="197"/>
      <c r="C89" s="197"/>
      <c r="F89" s="113"/>
    </row>
    <row r="90" spans="1:6" ht="16.2" thickBot="1" x14ac:dyDescent="0.35">
      <c r="A90" s="92"/>
      <c r="F90" s="113"/>
    </row>
    <row r="91" spans="1:6" ht="16.2" thickBot="1" x14ac:dyDescent="0.35">
      <c r="A91" s="86" t="s">
        <v>85</v>
      </c>
      <c r="B91" s="87" t="s">
        <v>124</v>
      </c>
      <c r="C91" s="87" t="s">
        <v>35</v>
      </c>
      <c r="F91" s="114">
        <f>C10+C11</f>
        <v>2659.6959999999999</v>
      </c>
    </row>
    <row r="92" spans="1:6" ht="16.2" thickBot="1" x14ac:dyDescent="0.35">
      <c r="A92" s="88" t="s">
        <v>36</v>
      </c>
      <c r="B92" s="89" t="s">
        <v>100</v>
      </c>
      <c r="C92" s="115">
        <f>F94</f>
        <v>294.40416814545461</v>
      </c>
      <c r="F92" s="114">
        <f>F91/220</f>
        <v>12.089527272727272</v>
      </c>
    </row>
    <row r="93" spans="1:6" ht="16.2" thickBot="1" x14ac:dyDescent="0.35">
      <c r="A93" s="198" t="s">
        <v>5</v>
      </c>
      <c r="B93" s="199"/>
      <c r="C93" s="115">
        <f>C92</f>
        <v>294.40416814545461</v>
      </c>
      <c r="F93" s="114">
        <f>F92*1.6</f>
        <v>19.343243636363638</v>
      </c>
    </row>
    <row r="94" spans="1:6" x14ac:dyDescent="0.3">
      <c r="F94" s="114">
        <f>F93*15.22</f>
        <v>294.40416814545461</v>
      </c>
    </row>
    <row r="95" spans="1:6" x14ac:dyDescent="0.3">
      <c r="F95" s="113"/>
    </row>
    <row r="96" spans="1:6" x14ac:dyDescent="0.3">
      <c r="A96" s="197" t="s">
        <v>87</v>
      </c>
      <c r="B96" s="197"/>
      <c r="C96" s="197"/>
    </row>
    <row r="97" spans="1:3" ht="16.2" thickBot="1" x14ac:dyDescent="0.35">
      <c r="A97" s="92"/>
    </row>
    <row r="98" spans="1:3" ht="16.2" thickBot="1" x14ac:dyDescent="0.35">
      <c r="A98" s="86">
        <v>4</v>
      </c>
      <c r="B98" s="87" t="s">
        <v>88</v>
      </c>
      <c r="C98" s="87" t="s">
        <v>35</v>
      </c>
    </row>
    <row r="99" spans="1:3" ht="16.2" thickBot="1" x14ac:dyDescent="0.35">
      <c r="A99" s="88" t="s">
        <v>79</v>
      </c>
      <c r="B99" s="89" t="s">
        <v>80</v>
      </c>
      <c r="C99" s="90">
        <f>D86</f>
        <v>132.8370391111111</v>
      </c>
    </row>
    <row r="100" spans="1:3" ht="16.2" thickBot="1" x14ac:dyDescent="0.35">
      <c r="A100" s="88" t="s">
        <v>85</v>
      </c>
      <c r="B100" s="89" t="s">
        <v>86</v>
      </c>
      <c r="C100" s="90">
        <f>C93</f>
        <v>294.40416814545461</v>
      </c>
    </row>
    <row r="101" spans="1:3" ht="16.2" thickBot="1" x14ac:dyDescent="0.35">
      <c r="A101" s="198" t="s">
        <v>5</v>
      </c>
      <c r="B101" s="199"/>
      <c r="C101" s="91">
        <f>C99+C100</f>
        <v>427.2412072565657</v>
      </c>
    </row>
    <row r="104" spans="1:3" x14ac:dyDescent="0.3">
      <c r="A104" s="200" t="s">
        <v>89</v>
      </c>
      <c r="B104" s="200"/>
      <c r="C104" s="200"/>
    </row>
    <row r="105" spans="1:3" ht="16.2" thickBot="1" x14ac:dyDescent="0.35"/>
    <row r="106" spans="1:3" ht="16.2" thickBot="1" x14ac:dyDescent="0.35">
      <c r="A106" s="86">
        <v>5</v>
      </c>
      <c r="B106" s="116" t="s">
        <v>21</v>
      </c>
      <c r="C106" s="87" t="s">
        <v>35</v>
      </c>
    </row>
    <row r="107" spans="1:3" ht="16.2" thickBot="1" x14ac:dyDescent="0.35">
      <c r="A107" s="88" t="s">
        <v>36</v>
      </c>
      <c r="B107" s="89" t="s">
        <v>90</v>
      </c>
      <c r="C107" s="117">
        <f>'Planilha de Apoio - P 12 x 36'!C50</f>
        <v>285.41666666666669</v>
      </c>
    </row>
    <row r="108" spans="1:3" ht="16.2" thickBot="1" x14ac:dyDescent="0.35">
      <c r="A108" s="88" t="s">
        <v>38</v>
      </c>
      <c r="B108" s="89" t="s">
        <v>91</v>
      </c>
      <c r="C108" s="117">
        <f>'Planilha de Apoio - P 12 x 36'!D34</f>
        <v>4.75</v>
      </c>
    </row>
    <row r="109" spans="1:3" ht="16.2" thickBot="1" x14ac:dyDescent="0.35">
      <c r="A109" s="88" t="s">
        <v>39</v>
      </c>
      <c r="B109" s="50" t="s">
        <v>139</v>
      </c>
      <c r="C109" s="47"/>
    </row>
    <row r="110" spans="1:3" ht="16.2" thickBot="1" x14ac:dyDescent="0.35">
      <c r="A110" s="88" t="s">
        <v>40</v>
      </c>
      <c r="B110" s="50" t="s">
        <v>139</v>
      </c>
      <c r="C110" s="47"/>
    </row>
    <row r="111" spans="1:3" ht="16.2" thickBot="1" x14ac:dyDescent="0.35">
      <c r="A111" s="198" t="s">
        <v>62</v>
      </c>
      <c r="B111" s="199"/>
      <c r="C111" s="90">
        <f>SUM(C107:C110)</f>
        <v>290.16666666666669</v>
      </c>
    </row>
    <row r="114" spans="1:6" x14ac:dyDescent="0.3">
      <c r="A114" s="200" t="s">
        <v>92</v>
      </c>
      <c r="B114" s="200"/>
      <c r="C114" s="200"/>
    </row>
    <row r="115" spans="1:6" ht="16.2" thickBot="1" x14ac:dyDescent="0.35"/>
    <row r="116" spans="1:6" ht="16.2" thickBot="1" x14ac:dyDescent="0.35">
      <c r="A116" s="86">
        <v>6</v>
      </c>
      <c r="B116" s="116" t="s">
        <v>22</v>
      </c>
      <c r="C116" s="87" t="s">
        <v>55</v>
      </c>
      <c r="D116" s="87" t="s">
        <v>35</v>
      </c>
      <c r="E116" s="113"/>
      <c r="F116" s="113"/>
    </row>
    <row r="117" spans="1:6" ht="16.2" thickBot="1" x14ac:dyDescent="0.35">
      <c r="A117" s="88" t="s">
        <v>36</v>
      </c>
      <c r="B117" s="118" t="s">
        <v>23</v>
      </c>
      <c r="C117" s="46">
        <f>'Posto 12x36 diurno ISS 3%'!C117</f>
        <v>0.1</v>
      </c>
      <c r="D117" s="119">
        <f>C117*C136</f>
        <v>627.98945817461663</v>
      </c>
      <c r="E117" s="113"/>
      <c r="F117" s="113"/>
    </row>
    <row r="118" spans="1:6" ht="16.2" thickBot="1" x14ac:dyDescent="0.35">
      <c r="A118" s="88" t="s">
        <v>38</v>
      </c>
      <c r="B118" s="118" t="s">
        <v>25</v>
      </c>
      <c r="C118" s="46">
        <f>C117</f>
        <v>0.1</v>
      </c>
      <c r="D118" s="119">
        <f>C118*(C136+D117)</f>
        <v>690.78840399207832</v>
      </c>
      <c r="E118" s="113"/>
      <c r="F118" s="113"/>
    </row>
    <row r="119" spans="1:6" ht="16.2" thickBot="1" x14ac:dyDescent="0.35">
      <c r="A119" s="88" t="s">
        <v>39</v>
      </c>
      <c r="B119" s="89" t="s">
        <v>24</v>
      </c>
      <c r="C119" s="101"/>
      <c r="D119" s="90">
        <f>(C$12+C$59+D$71+C$101+C$111)*C119</f>
        <v>0</v>
      </c>
      <c r="E119" s="113"/>
      <c r="F119" s="113"/>
    </row>
    <row r="120" spans="1:6" ht="16.2" thickBot="1" x14ac:dyDescent="0.35">
      <c r="A120" s="88"/>
      <c r="B120" s="118" t="s">
        <v>104</v>
      </c>
      <c r="C120" s="120">
        <f>C121+C122</f>
        <v>3.6499999999999998E-2</v>
      </c>
      <c r="D120" s="119">
        <f>C120*E126</f>
        <v>300.32652322990731</v>
      </c>
      <c r="E120" s="102">
        <f>C121+C122+C124</f>
        <v>7.6499999999999999E-2</v>
      </c>
      <c r="F120" s="113"/>
    </row>
    <row r="121" spans="1:6" ht="16.2" thickBot="1" x14ac:dyDescent="0.35">
      <c r="A121" s="88"/>
      <c r="B121" s="89" t="s">
        <v>102</v>
      </c>
      <c r="C121" s="101">
        <v>0.03</v>
      </c>
      <c r="D121" s="90">
        <f>C121*E126</f>
        <v>246.84371772321151</v>
      </c>
      <c r="E121" s="113"/>
      <c r="F121" s="113"/>
    </row>
    <row r="122" spans="1:6" ht="16.2" thickBot="1" x14ac:dyDescent="0.35">
      <c r="A122" s="88"/>
      <c r="B122" s="89" t="s">
        <v>103</v>
      </c>
      <c r="C122" s="101">
        <v>6.4999999999999997E-3</v>
      </c>
      <c r="D122" s="90">
        <f>C122*E126</f>
        <v>53.482805506695826</v>
      </c>
      <c r="E122" s="113"/>
      <c r="F122" s="113"/>
    </row>
    <row r="123" spans="1:6" ht="16.2" thickBot="1" x14ac:dyDescent="0.35">
      <c r="A123" s="88"/>
      <c r="B123" s="118" t="s">
        <v>105</v>
      </c>
      <c r="C123" s="120">
        <v>0</v>
      </c>
      <c r="D123" s="119">
        <f>C123*E126</f>
        <v>0</v>
      </c>
      <c r="E123" s="113"/>
      <c r="F123" s="113"/>
    </row>
    <row r="124" spans="1:6" ht="16.2" thickBot="1" x14ac:dyDescent="0.35">
      <c r="A124" s="88"/>
      <c r="B124" s="118" t="s">
        <v>106</v>
      </c>
      <c r="C124" s="120">
        <v>0.04</v>
      </c>
      <c r="D124" s="119">
        <f>C124*E126</f>
        <v>329.12495696428203</v>
      </c>
      <c r="E124" s="113"/>
      <c r="F124" s="113"/>
    </row>
    <row r="125" spans="1:6" ht="16.2" thickBot="1" x14ac:dyDescent="0.35">
      <c r="A125" s="213" t="s">
        <v>62</v>
      </c>
      <c r="B125" s="214"/>
      <c r="C125" s="120">
        <f>C117+C118+C120+C123+C124</f>
        <v>0.27650000000000002</v>
      </c>
      <c r="D125" s="119">
        <f>D117+D118+D120+D123+D124</f>
        <v>1948.2293423608842</v>
      </c>
      <c r="E125" s="113"/>
      <c r="F125" s="121">
        <f>C136+D117+D118</f>
        <v>7598.6724439128611</v>
      </c>
    </row>
    <row r="126" spans="1:6" x14ac:dyDescent="0.3">
      <c r="E126" s="113">
        <f>(F125)/(100%-E120)</f>
        <v>8228.1239241070507</v>
      </c>
      <c r="F126" s="113"/>
    </row>
    <row r="127" spans="1:6" x14ac:dyDescent="0.3">
      <c r="E127" s="113"/>
      <c r="F127" s="113"/>
    </row>
    <row r="128" spans="1:6" x14ac:dyDescent="0.3">
      <c r="A128" s="200" t="s">
        <v>93</v>
      </c>
      <c r="B128" s="200"/>
      <c r="C128" s="200"/>
      <c r="E128" s="113"/>
      <c r="F128" s="113"/>
    </row>
    <row r="129" spans="1:6" ht="16.2" thickBot="1" x14ac:dyDescent="0.35">
      <c r="E129" s="113"/>
      <c r="F129" s="113"/>
    </row>
    <row r="130" spans="1:6" ht="16.2" thickBot="1" x14ac:dyDescent="0.35">
      <c r="A130" s="86"/>
      <c r="B130" s="87" t="s">
        <v>94</v>
      </c>
      <c r="C130" s="87" t="s">
        <v>35</v>
      </c>
      <c r="E130" s="113"/>
      <c r="F130" s="113"/>
    </row>
    <row r="131" spans="1:6" ht="16.2" thickBot="1" x14ac:dyDescent="0.35">
      <c r="A131" s="122" t="s">
        <v>36</v>
      </c>
      <c r="B131" s="89" t="s">
        <v>33</v>
      </c>
      <c r="C131" s="123">
        <f>C12</f>
        <v>2659.6959999999999</v>
      </c>
    </row>
    <row r="132" spans="1:6" ht="16.2" thickBot="1" x14ac:dyDescent="0.35">
      <c r="A132" s="122" t="s">
        <v>38</v>
      </c>
      <c r="B132" s="89" t="s">
        <v>46</v>
      </c>
      <c r="C132" s="123">
        <f>C59</f>
        <v>2713.7522826837335</v>
      </c>
    </row>
    <row r="133" spans="1:6" ht="16.2" thickBot="1" x14ac:dyDescent="0.35">
      <c r="A133" s="122" t="s">
        <v>39</v>
      </c>
      <c r="B133" s="89" t="s">
        <v>69</v>
      </c>
      <c r="C133" s="123">
        <f>D71</f>
        <v>189.0384251392</v>
      </c>
    </row>
    <row r="134" spans="1:6" ht="16.2" thickBot="1" x14ac:dyDescent="0.35">
      <c r="A134" s="122" t="s">
        <v>40</v>
      </c>
      <c r="B134" s="89" t="s">
        <v>77</v>
      </c>
      <c r="C134" s="123">
        <f>C101</f>
        <v>427.2412072565657</v>
      </c>
    </row>
    <row r="135" spans="1:6" ht="16.2" thickBot="1" x14ac:dyDescent="0.35">
      <c r="A135" s="122" t="s">
        <v>41</v>
      </c>
      <c r="B135" s="89" t="s">
        <v>89</v>
      </c>
      <c r="C135" s="123">
        <f>C111</f>
        <v>290.16666666666669</v>
      </c>
    </row>
    <row r="136" spans="1:6" ht="16.2" thickBot="1" x14ac:dyDescent="0.35">
      <c r="A136" s="198" t="s">
        <v>95</v>
      </c>
      <c r="B136" s="199"/>
      <c r="C136" s="123">
        <f>SUM(C131:C135)</f>
        <v>6279.8945817461663</v>
      </c>
    </row>
    <row r="137" spans="1:6" ht="16.2" thickBot="1" x14ac:dyDescent="0.35">
      <c r="A137" s="122" t="s">
        <v>43</v>
      </c>
      <c r="B137" s="89" t="s">
        <v>96</v>
      </c>
      <c r="C137" s="123">
        <f>D125</f>
        <v>1948.2293423608842</v>
      </c>
    </row>
    <row r="138" spans="1:6" x14ac:dyDescent="0.3">
      <c r="A138" s="211" t="s">
        <v>97</v>
      </c>
      <c r="B138" s="212"/>
      <c r="C138" s="124">
        <f>C136+C137</f>
        <v>8228.1239241070507</v>
      </c>
    </row>
    <row r="139" spans="1:6" x14ac:dyDescent="0.3">
      <c r="A139" s="208" t="s">
        <v>115</v>
      </c>
      <c r="B139" s="209"/>
      <c r="C139" s="125">
        <v>2</v>
      </c>
    </row>
    <row r="140" spans="1:6" ht="16.2" thickBot="1" x14ac:dyDescent="0.35">
      <c r="A140" s="210" t="s">
        <v>116</v>
      </c>
      <c r="B140" s="210"/>
      <c r="C140" s="126">
        <f>C138*C139</f>
        <v>16456.247848214101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2:C62"/>
    <mergeCell ref="A7:C7"/>
    <mergeCell ref="A12:B12"/>
    <mergeCell ref="A15:C15"/>
    <mergeCell ref="A17:C17"/>
    <mergeCell ref="A22:B22"/>
    <mergeCell ref="A25:D25"/>
    <mergeCell ref="A36:B36"/>
    <mergeCell ref="A39:C39"/>
    <mergeCell ref="A50:B50"/>
    <mergeCell ref="A53:C53"/>
    <mergeCell ref="A59:B59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128:C128"/>
    <mergeCell ref="A136:B136"/>
    <mergeCell ref="A138:B138"/>
    <mergeCell ref="A139:B139"/>
    <mergeCell ref="A140:B140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49:C49 B42:B48 C44 C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106" workbookViewId="0">
      <selection activeCell="C119" sqref="C119"/>
    </sheetView>
  </sheetViews>
  <sheetFormatPr defaultColWidth="9.109375" defaultRowHeight="15.6" x14ac:dyDescent="0.3"/>
  <cols>
    <col min="1" max="1" width="16.33203125" style="83" customWidth="1"/>
    <col min="2" max="2" width="72.109375" style="83" customWidth="1"/>
    <col min="3" max="3" width="18" style="83" customWidth="1"/>
    <col min="4" max="4" width="14.33203125" style="83" customWidth="1"/>
    <col min="5" max="5" width="14" style="83" bestFit="1" customWidth="1"/>
    <col min="6" max="6" width="12" style="83" customWidth="1"/>
    <col min="7" max="7" width="15.109375" style="83" customWidth="1"/>
    <col min="8" max="16384" width="9.109375" style="83"/>
  </cols>
  <sheetData>
    <row r="1" spans="1:5" ht="22.8" x14ac:dyDescent="0.4">
      <c r="A1" s="203" t="s">
        <v>98</v>
      </c>
      <c r="B1" s="203"/>
      <c r="C1" s="203"/>
      <c r="D1" s="203"/>
    </row>
    <row r="2" spans="1:5" ht="22.8" x14ac:dyDescent="0.4">
      <c r="A2" s="203" t="s">
        <v>99</v>
      </c>
      <c r="B2" s="203"/>
      <c r="C2" s="203"/>
      <c r="D2" s="203"/>
    </row>
    <row r="3" spans="1:5" ht="27.75" customHeight="1" x14ac:dyDescent="0.3">
      <c r="A3" s="205"/>
      <c r="B3" s="205"/>
      <c r="C3" s="205"/>
      <c r="D3" s="205"/>
    </row>
    <row r="4" spans="1:5" x14ac:dyDescent="0.3">
      <c r="A4" s="84" t="s">
        <v>107</v>
      </c>
      <c r="B4" s="234" t="s">
        <v>169</v>
      </c>
      <c r="C4" s="235"/>
    </row>
    <row r="5" spans="1:5" x14ac:dyDescent="0.3">
      <c r="A5" s="84" t="s">
        <v>108</v>
      </c>
      <c r="B5" s="234" t="s">
        <v>143</v>
      </c>
      <c r="C5" s="235"/>
      <c r="E5" s="85"/>
    </row>
    <row r="6" spans="1:5" x14ac:dyDescent="0.3">
      <c r="A6" s="84"/>
      <c r="B6" s="234"/>
      <c r="C6" s="235"/>
    </row>
    <row r="7" spans="1:5" x14ac:dyDescent="0.3">
      <c r="A7" s="204" t="s">
        <v>33</v>
      </c>
      <c r="B7" s="204"/>
      <c r="C7" s="204"/>
    </row>
    <row r="8" spans="1:5" ht="16.2" thickBot="1" x14ac:dyDescent="0.35"/>
    <row r="9" spans="1:5" ht="16.2" thickBot="1" x14ac:dyDescent="0.35">
      <c r="A9" s="86">
        <v>1</v>
      </c>
      <c r="B9" s="87" t="s">
        <v>34</v>
      </c>
      <c r="C9" s="87" t="s">
        <v>35</v>
      </c>
    </row>
    <row r="10" spans="1:5" ht="16.2" thickBot="1" x14ac:dyDescent="0.35">
      <c r="A10" s="88" t="s">
        <v>36</v>
      </c>
      <c r="B10" s="89" t="s">
        <v>37</v>
      </c>
      <c r="C10" s="90">
        <v>2045.92</v>
      </c>
      <c r="D10" s="114">
        <f>C10+C11</f>
        <v>2659.6959999999999</v>
      </c>
      <c r="E10" s="114">
        <f>D10/220</f>
        <v>12.089527272727272</v>
      </c>
    </row>
    <row r="11" spans="1:5" ht="16.2" thickBot="1" x14ac:dyDescent="0.35">
      <c r="A11" s="88" t="s">
        <v>38</v>
      </c>
      <c r="B11" s="89" t="s">
        <v>112</v>
      </c>
      <c r="C11" s="90">
        <f>C10*0.3</f>
        <v>613.77599999999995</v>
      </c>
      <c r="D11" s="114"/>
      <c r="E11" s="114">
        <f>E10*0.2</f>
        <v>2.4179054545454548</v>
      </c>
    </row>
    <row r="12" spans="1:5" ht="16.2" thickBot="1" x14ac:dyDescent="0.35">
      <c r="A12" s="88" t="s">
        <v>39</v>
      </c>
      <c r="B12" s="89" t="s">
        <v>4</v>
      </c>
      <c r="C12" s="90">
        <f>D12*E11</f>
        <v>257.60364712727278</v>
      </c>
      <c r="D12" s="130">
        <f>7*15.22</f>
        <v>106.54</v>
      </c>
      <c r="E12" s="114">
        <f>E11+E10</f>
        <v>14.507432727272727</v>
      </c>
    </row>
    <row r="13" spans="1:5" ht="16.2" thickBot="1" x14ac:dyDescent="0.35">
      <c r="A13" s="88" t="s">
        <v>40</v>
      </c>
      <c r="B13" s="89" t="s">
        <v>42</v>
      </c>
      <c r="C13" s="90">
        <f>E12*15.22</f>
        <v>220.80312610909093</v>
      </c>
      <c r="D13" s="113"/>
      <c r="E13" s="113"/>
    </row>
    <row r="14" spans="1:5" ht="16.2" thickBot="1" x14ac:dyDescent="0.35">
      <c r="A14" s="201" t="s">
        <v>5</v>
      </c>
      <c r="B14" s="202"/>
      <c r="C14" s="91">
        <f>SUM(C10:C13)</f>
        <v>3138.1027732363636</v>
      </c>
    </row>
    <row r="17" spans="1:4" x14ac:dyDescent="0.3">
      <c r="A17" s="200" t="s">
        <v>46</v>
      </c>
      <c r="B17" s="200"/>
      <c r="C17" s="200"/>
    </row>
    <row r="18" spans="1:4" x14ac:dyDescent="0.3">
      <c r="A18" s="92"/>
    </row>
    <row r="19" spans="1:4" x14ac:dyDescent="0.3">
      <c r="A19" s="197" t="s">
        <v>47</v>
      </c>
      <c r="B19" s="197"/>
      <c r="C19" s="197"/>
    </row>
    <row r="20" spans="1:4" ht="16.2" thickBot="1" x14ac:dyDescent="0.35"/>
    <row r="21" spans="1:4" ht="16.2" thickBot="1" x14ac:dyDescent="0.35">
      <c r="A21" s="86" t="s">
        <v>48</v>
      </c>
      <c r="B21" s="87" t="s">
        <v>49</v>
      </c>
      <c r="C21" s="87" t="s">
        <v>55</v>
      </c>
      <c r="D21" s="87" t="s">
        <v>35</v>
      </c>
    </row>
    <row r="22" spans="1:4" ht="16.2" thickBot="1" x14ac:dyDescent="0.35">
      <c r="A22" s="88" t="s">
        <v>36</v>
      </c>
      <c r="B22" s="93" t="s">
        <v>50</v>
      </c>
      <c r="C22" s="97">
        <f>'Posto 12x36 diurno ISS 3%'!C20</f>
        <v>8.3299999999999999E-2</v>
      </c>
      <c r="D22" s="95">
        <f>C$14*C22</f>
        <v>261.40396101058911</v>
      </c>
    </row>
    <row r="23" spans="1:4" ht="16.2" thickBot="1" x14ac:dyDescent="0.35">
      <c r="A23" s="88" t="s">
        <v>38</v>
      </c>
      <c r="B23" s="96" t="s">
        <v>51</v>
      </c>
      <c r="C23" s="97">
        <f>'Posto 12x36 diurno ISS 3%'!C21</f>
        <v>0.121</v>
      </c>
      <c r="D23" s="98">
        <f>C$14*C23</f>
        <v>379.71043556159998</v>
      </c>
    </row>
    <row r="24" spans="1:4" ht="16.2" thickBot="1" x14ac:dyDescent="0.35">
      <c r="A24" s="198" t="s">
        <v>5</v>
      </c>
      <c r="B24" s="199"/>
      <c r="C24" s="99">
        <f>SUM(C22:C23)</f>
        <v>0.20429999999999998</v>
      </c>
      <c r="D24" s="100">
        <f>C$14*C24</f>
        <v>641.11439657218898</v>
      </c>
    </row>
    <row r="27" spans="1:4" ht="32.25" customHeight="1" x14ac:dyDescent="0.3">
      <c r="A27" s="206" t="s">
        <v>52</v>
      </c>
      <c r="B27" s="206"/>
      <c r="C27" s="206"/>
      <c r="D27" s="206"/>
    </row>
    <row r="28" spans="1:4" ht="16.2" thickBot="1" x14ac:dyDescent="0.35"/>
    <row r="29" spans="1:4" ht="16.2" thickBot="1" x14ac:dyDescent="0.35">
      <c r="A29" s="86" t="s">
        <v>53</v>
      </c>
      <c r="B29" s="87" t="s">
        <v>54</v>
      </c>
      <c r="C29" s="87" t="s">
        <v>55</v>
      </c>
      <c r="D29" s="87" t="s">
        <v>35</v>
      </c>
    </row>
    <row r="30" spans="1:4" ht="16.2" thickBot="1" x14ac:dyDescent="0.35">
      <c r="A30" s="88" t="s">
        <v>36</v>
      </c>
      <c r="B30" s="89" t="s">
        <v>56</v>
      </c>
      <c r="C30" s="97">
        <f>'Posto 12x36 diurno ISS 3%'!C28</f>
        <v>0.2</v>
      </c>
      <c r="D30" s="98">
        <f t="shared" ref="D30:D38" si="0">(D$24+C$14)*C30</f>
        <v>755.84343396171062</v>
      </c>
    </row>
    <row r="31" spans="1:4" ht="16.2" thickBot="1" x14ac:dyDescent="0.35">
      <c r="A31" s="88" t="s">
        <v>38</v>
      </c>
      <c r="B31" s="89" t="s">
        <v>57</v>
      </c>
      <c r="C31" s="97">
        <f>'Posto 12x36 diurno ISS 3%'!C29</f>
        <v>2.5000000000000001E-2</v>
      </c>
      <c r="D31" s="98">
        <f t="shared" si="0"/>
        <v>94.480429245213827</v>
      </c>
    </row>
    <row r="32" spans="1:4" ht="16.2" thickBot="1" x14ac:dyDescent="0.35">
      <c r="A32" s="88" t="s">
        <v>39</v>
      </c>
      <c r="B32" s="89" t="s">
        <v>58</v>
      </c>
      <c r="C32" s="131">
        <f>'Posto 12x36 diurno ISS 3%'!C30</f>
        <v>0.03</v>
      </c>
      <c r="D32" s="98">
        <f t="shared" si="0"/>
        <v>113.37651509425658</v>
      </c>
    </row>
    <row r="33" spans="1:4" ht="16.2" thickBot="1" x14ac:dyDescent="0.35">
      <c r="A33" s="88" t="s">
        <v>40</v>
      </c>
      <c r="B33" s="89" t="s">
        <v>59</v>
      </c>
      <c r="C33" s="97">
        <f>'Posto 12x36 diurno ISS 3%'!C31</f>
        <v>1.4999999999999999E-2</v>
      </c>
      <c r="D33" s="98">
        <f t="shared" si="0"/>
        <v>56.688257547128288</v>
      </c>
    </row>
    <row r="34" spans="1:4" ht="16.2" thickBot="1" x14ac:dyDescent="0.35">
      <c r="A34" s="88" t="s">
        <v>41</v>
      </c>
      <c r="B34" s="89" t="s">
        <v>60</v>
      </c>
      <c r="C34" s="97">
        <f>'Posto 12x36 diurno ISS 3%'!C32</f>
        <v>0.01</v>
      </c>
      <c r="D34" s="98">
        <f t="shared" si="0"/>
        <v>37.792171698085525</v>
      </c>
    </row>
    <row r="35" spans="1:4" ht="16.2" thickBot="1" x14ac:dyDescent="0.35">
      <c r="A35" s="88" t="s">
        <v>43</v>
      </c>
      <c r="B35" s="89" t="s">
        <v>6</v>
      </c>
      <c r="C35" s="97">
        <f>'Posto 12x36 diurno ISS 3%'!C33</f>
        <v>6.0000000000000001E-3</v>
      </c>
      <c r="D35" s="98">
        <f t="shared" si="0"/>
        <v>22.675303018851316</v>
      </c>
    </row>
    <row r="36" spans="1:4" ht="16.2" thickBot="1" x14ac:dyDescent="0.35">
      <c r="A36" s="88" t="s">
        <v>44</v>
      </c>
      <c r="B36" s="89" t="s">
        <v>7</v>
      </c>
      <c r="C36" s="97">
        <f>'Posto 12x36 diurno ISS 3%'!C34</f>
        <v>2E-3</v>
      </c>
      <c r="D36" s="98">
        <f t="shared" si="0"/>
        <v>7.5584343396171052</v>
      </c>
    </row>
    <row r="37" spans="1:4" ht="16.2" thickBot="1" x14ac:dyDescent="0.35">
      <c r="A37" s="88" t="s">
        <v>61</v>
      </c>
      <c r="B37" s="89" t="s">
        <v>8</v>
      </c>
      <c r="C37" s="97">
        <f>'Posto 12x36 diurno ISS 3%'!C35</f>
        <v>0.08</v>
      </c>
      <c r="D37" s="98">
        <f t="shared" si="0"/>
        <v>302.3373735846842</v>
      </c>
    </row>
    <row r="38" spans="1:4" ht="16.2" thickBot="1" x14ac:dyDescent="0.35">
      <c r="A38" s="198" t="s">
        <v>62</v>
      </c>
      <c r="B38" s="199"/>
      <c r="C38" s="101">
        <f>SUM(C30:C37)</f>
        <v>0.36800000000000005</v>
      </c>
      <c r="D38" s="98">
        <f t="shared" si="0"/>
        <v>1390.7519184895475</v>
      </c>
    </row>
    <row r="41" spans="1:4" x14ac:dyDescent="0.3">
      <c r="A41" s="197" t="s">
        <v>63</v>
      </c>
      <c r="B41" s="197"/>
      <c r="C41" s="197"/>
    </row>
    <row r="42" spans="1:4" ht="16.2" thickBot="1" x14ac:dyDescent="0.35"/>
    <row r="43" spans="1:4" ht="16.2" thickBot="1" x14ac:dyDescent="0.35">
      <c r="A43" s="86" t="s">
        <v>64</v>
      </c>
      <c r="B43" s="87" t="s">
        <v>65</v>
      </c>
      <c r="C43" s="87" t="s">
        <v>35</v>
      </c>
    </row>
    <row r="44" spans="1:4" ht="16.2" thickBot="1" x14ac:dyDescent="0.35">
      <c r="A44" s="88" t="s">
        <v>36</v>
      </c>
      <c r="B44" s="89" t="s">
        <v>66</v>
      </c>
      <c r="C44" s="103">
        <f>'Posto 12x36 diurno ISS 3%'!C42</f>
        <v>75.104800000000012</v>
      </c>
    </row>
    <row r="45" spans="1:4" ht="16.2" thickBot="1" x14ac:dyDescent="0.35">
      <c r="A45" s="88" t="s">
        <v>38</v>
      </c>
      <c r="B45" s="89" t="s">
        <v>109</v>
      </c>
      <c r="C45" s="103">
        <f>'Posto 12x36 diurno ISS 3%'!C43</f>
        <v>461.77480000000003</v>
      </c>
    </row>
    <row r="46" spans="1:4" ht="16.2" thickBot="1" x14ac:dyDescent="0.35">
      <c r="A46" s="88" t="s">
        <v>39</v>
      </c>
      <c r="B46" s="89" t="s">
        <v>122</v>
      </c>
      <c r="C46" s="117">
        <f>'Posto 12x36 diurno ISS 3%'!C44</f>
        <v>20</v>
      </c>
    </row>
    <row r="47" spans="1:4" ht="16.2" thickBot="1" x14ac:dyDescent="0.35">
      <c r="A47" s="104" t="s">
        <v>40</v>
      </c>
      <c r="B47" s="105" t="s">
        <v>138</v>
      </c>
      <c r="C47" s="103">
        <f>'Posto 12x36 diurno ISS 3%'!C45</f>
        <v>178.57149999999999</v>
      </c>
    </row>
    <row r="48" spans="1:4" ht="16.2" thickBot="1" x14ac:dyDescent="0.35">
      <c r="A48" s="104" t="s">
        <v>41</v>
      </c>
      <c r="B48" s="105" t="s">
        <v>160</v>
      </c>
      <c r="C48" s="90">
        <f>'Posto 12x36 diurno ISS 3%'!C46</f>
        <v>178.57149999999999</v>
      </c>
    </row>
    <row r="49" spans="1:3" ht="16.2" thickBot="1" x14ac:dyDescent="0.35">
      <c r="A49" s="104" t="s">
        <v>43</v>
      </c>
      <c r="B49" s="105" t="s">
        <v>161</v>
      </c>
      <c r="C49" s="90">
        <f>'Posto 12x36 diurno ISS 3%'!C47</f>
        <v>35</v>
      </c>
    </row>
    <row r="50" spans="1:3" ht="16.2" thickBot="1" x14ac:dyDescent="0.35">
      <c r="A50" s="104" t="s">
        <v>44</v>
      </c>
      <c r="B50" s="127" t="str">
        <f>'Posto 12x36 diurno ISS 3%'!B48</f>
        <v>Participação nos Lucros</v>
      </c>
      <c r="C50" s="117">
        <f>'Posto 12x36 diurno ISS 3%'!C48</f>
        <v>42.623333333333335</v>
      </c>
    </row>
    <row r="51" spans="1:3" ht="16.2" thickBot="1" x14ac:dyDescent="0.35">
      <c r="A51" s="104" t="s">
        <v>61</v>
      </c>
      <c r="B51" s="127" t="str">
        <f>'Posto 12x36 diurno ISS 3%'!B49</f>
        <v>Outro (Especificar)</v>
      </c>
      <c r="C51" s="117">
        <f>'Posto 12x36 diurno ISS 3%'!C49</f>
        <v>0</v>
      </c>
    </row>
    <row r="52" spans="1:3" ht="16.2" thickBot="1" x14ac:dyDescent="0.35">
      <c r="A52" s="201" t="s">
        <v>5</v>
      </c>
      <c r="B52" s="202"/>
      <c r="C52" s="90">
        <f>SUM(C44:C51)</f>
        <v>991.64593333333335</v>
      </c>
    </row>
    <row r="55" spans="1:3" x14ac:dyDescent="0.3">
      <c r="A55" s="197" t="s">
        <v>67</v>
      </c>
      <c r="B55" s="197"/>
      <c r="C55" s="197"/>
    </row>
    <row r="56" spans="1:3" ht="16.2" thickBot="1" x14ac:dyDescent="0.35"/>
    <row r="57" spans="1:3" ht="16.2" thickBot="1" x14ac:dyDescent="0.35">
      <c r="A57" s="86">
        <v>2</v>
      </c>
      <c r="B57" s="87" t="s">
        <v>68</v>
      </c>
      <c r="C57" s="87" t="s">
        <v>35</v>
      </c>
    </row>
    <row r="58" spans="1:3" ht="16.2" thickBot="1" x14ac:dyDescent="0.35">
      <c r="A58" s="88" t="s">
        <v>48</v>
      </c>
      <c r="B58" s="89" t="s">
        <v>49</v>
      </c>
      <c r="C58" s="90">
        <f>D24</f>
        <v>641.11439657218898</v>
      </c>
    </row>
    <row r="59" spans="1:3" ht="16.2" thickBot="1" x14ac:dyDescent="0.35">
      <c r="A59" s="88" t="s">
        <v>53</v>
      </c>
      <c r="B59" s="89" t="s">
        <v>54</v>
      </c>
      <c r="C59" s="90">
        <f>D38</f>
        <v>1390.7519184895475</v>
      </c>
    </row>
    <row r="60" spans="1:3" ht="16.2" thickBot="1" x14ac:dyDescent="0.35">
      <c r="A60" s="88" t="s">
        <v>64</v>
      </c>
      <c r="B60" s="89" t="s">
        <v>65</v>
      </c>
      <c r="C60" s="90">
        <f>C52</f>
        <v>991.64593333333335</v>
      </c>
    </row>
    <row r="61" spans="1:3" ht="16.2" thickBot="1" x14ac:dyDescent="0.35">
      <c r="A61" s="198" t="s">
        <v>5</v>
      </c>
      <c r="B61" s="199"/>
      <c r="C61" s="90">
        <f>SUM(C58:C60)</f>
        <v>3023.5122483950699</v>
      </c>
    </row>
    <row r="62" spans="1:3" x14ac:dyDescent="0.3">
      <c r="A62" s="106"/>
    </row>
    <row r="64" spans="1:3" x14ac:dyDescent="0.3">
      <c r="A64" s="200" t="s">
        <v>69</v>
      </c>
      <c r="B64" s="200"/>
      <c r="C64" s="200"/>
    </row>
    <row r="65" spans="1:4" ht="16.2" thickBot="1" x14ac:dyDescent="0.35"/>
    <row r="66" spans="1:4" ht="16.2" thickBot="1" x14ac:dyDescent="0.35">
      <c r="A66" s="86">
        <v>3</v>
      </c>
      <c r="B66" s="87" t="s">
        <v>70</v>
      </c>
      <c r="C66" s="87" t="s">
        <v>55</v>
      </c>
      <c r="D66" s="87" t="s">
        <v>35</v>
      </c>
    </row>
    <row r="67" spans="1:4" ht="16.2" thickBot="1" x14ac:dyDescent="0.35">
      <c r="A67" s="88" t="s">
        <v>36</v>
      </c>
      <c r="B67" s="107" t="s">
        <v>71</v>
      </c>
      <c r="C67" s="97">
        <f>'Posto 12x36 diurno ISS 3%'!C65</f>
        <v>4.1999999999999997E-3</v>
      </c>
      <c r="D67" s="90">
        <f>(C$14)*C67</f>
        <v>13.180031647592726</v>
      </c>
    </row>
    <row r="68" spans="1:4" ht="16.2" thickBot="1" x14ac:dyDescent="0.35">
      <c r="A68" s="88" t="s">
        <v>38</v>
      </c>
      <c r="B68" s="109" t="s">
        <v>72</v>
      </c>
      <c r="C68" s="97">
        <f>'Posto 12x36 diurno ISS 3%'!C66</f>
        <v>3.3599999999999998E-4</v>
      </c>
      <c r="D68" s="90">
        <f t="shared" ref="D68:D72" si="1">(C$14)*C68</f>
        <v>1.0544025318074182</v>
      </c>
    </row>
    <row r="69" spans="1:4" ht="16.2" thickBot="1" x14ac:dyDescent="0.35">
      <c r="A69" s="88" t="s">
        <v>39</v>
      </c>
      <c r="B69" s="107" t="s">
        <v>73</v>
      </c>
      <c r="C69" s="97">
        <f>'Posto 12x36 diurno ISS 3%'!C67</f>
        <v>3.5999999999999999E-3</v>
      </c>
      <c r="D69" s="90">
        <f t="shared" si="1"/>
        <v>11.297169983650909</v>
      </c>
    </row>
    <row r="70" spans="1:4" ht="16.2" thickBot="1" x14ac:dyDescent="0.35">
      <c r="A70" s="88" t="s">
        <v>40</v>
      </c>
      <c r="B70" s="107" t="s">
        <v>74</v>
      </c>
      <c r="C70" s="97">
        <f>'Posto 12x36 diurno ISS 3%'!C68</f>
        <v>1.9400000000000001E-2</v>
      </c>
      <c r="D70" s="90">
        <f t="shared" si="1"/>
        <v>60.879193800785458</v>
      </c>
    </row>
    <row r="71" spans="1:4" ht="16.2" thickBot="1" x14ac:dyDescent="0.35">
      <c r="A71" s="88" t="s">
        <v>41</v>
      </c>
      <c r="B71" s="107" t="s">
        <v>75</v>
      </c>
      <c r="C71" s="97">
        <f>'Posto 12x36 diurno ISS 3%'!C69</f>
        <v>7.1392000000000009E-3</v>
      </c>
      <c r="D71" s="90">
        <f t="shared" si="1"/>
        <v>22.403543318689049</v>
      </c>
    </row>
    <row r="72" spans="1:4" ht="16.2" thickBot="1" x14ac:dyDescent="0.35">
      <c r="A72" s="88" t="s">
        <v>43</v>
      </c>
      <c r="B72" s="107" t="s">
        <v>76</v>
      </c>
      <c r="C72" s="97">
        <f>'Posto 12x36 diurno ISS 3%'!C70</f>
        <v>3.6400000000000002E-2</v>
      </c>
      <c r="D72" s="90">
        <f t="shared" si="1"/>
        <v>114.22694094580365</v>
      </c>
    </row>
    <row r="73" spans="1:4" ht="16.2" thickBot="1" x14ac:dyDescent="0.35">
      <c r="A73" s="198" t="s">
        <v>5</v>
      </c>
      <c r="B73" s="199"/>
      <c r="C73" s="111">
        <f>SUM(C67:C72)</f>
        <v>7.1075200000000005E-2</v>
      </c>
      <c r="D73" s="90">
        <f>SUM(D67:D72)</f>
        <v>223.04128222832918</v>
      </c>
    </row>
    <row r="76" spans="1:4" x14ac:dyDescent="0.3">
      <c r="A76" s="200" t="s">
        <v>77</v>
      </c>
      <c r="B76" s="200"/>
      <c r="C76" s="200"/>
    </row>
    <row r="79" spans="1:4" x14ac:dyDescent="0.3">
      <c r="A79" s="197" t="s">
        <v>78</v>
      </c>
      <c r="B79" s="197"/>
      <c r="C79" s="197"/>
    </row>
    <row r="80" spans="1:4" ht="16.2" thickBot="1" x14ac:dyDescent="0.35">
      <c r="A80" s="92"/>
    </row>
    <row r="81" spans="1:5" ht="16.2" thickBot="1" x14ac:dyDescent="0.35">
      <c r="A81" s="86" t="s">
        <v>79</v>
      </c>
      <c r="B81" s="87" t="s">
        <v>80</v>
      </c>
      <c r="C81" s="87" t="s">
        <v>55</v>
      </c>
      <c r="D81" s="87" t="s">
        <v>35</v>
      </c>
    </row>
    <row r="82" spans="1:5" ht="16.2" thickBot="1" x14ac:dyDescent="0.35">
      <c r="A82" s="88" t="s">
        <v>36</v>
      </c>
      <c r="B82" s="89" t="s">
        <v>152</v>
      </c>
      <c r="C82" s="97">
        <f>'Posto 12x36 diurno ISS 3%'!C80</f>
        <v>6.9444444444444441E-3</v>
      </c>
      <c r="D82" s="90">
        <f>(C$14)*C82</f>
        <v>21.792380369696968</v>
      </c>
    </row>
    <row r="83" spans="1:5" ht="16.2" thickBot="1" x14ac:dyDescent="0.35">
      <c r="A83" s="88" t="s">
        <v>38</v>
      </c>
      <c r="B83" s="129" t="s">
        <v>80</v>
      </c>
      <c r="C83" s="131">
        <f>'Posto 12x36 diurno ISS 3%'!C81</f>
        <v>8.0000000000000002E-3</v>
      </c>
      <c r="D83" s="90">
        <f>(C$14)*C83</f>
        <v>25.10482218589091</v>
      </c>
    </row>
    <row r="84" spans="1:5" ht="16.2" thickBot="1" x14ac:dyDescent="0.35">
      <c r="A84" s="88" t="s">
        <v>39</v>
      </c>
      <c r="B84" s="129" t="s">
        <v>81</v>
      </c>
      <c r="C84" s="131">
        <f>'Posto 12x36 diurno ISS 3%'!C82</f>
        <v>1.4999999999999999E-2</v>
      </c>
      <c r="D84" s="90">
        <f>(C$14)*C84</f>
        <v>47.071541598545451</v>
      </c>
    </row>
    <row r="85" spans="1:5" ht="16.2" thickBot="1" x14ac:dyDescent="0.35">
      <c r="A85" s="88" t="s">
        <v>40</v>
      </c>
      <c r="B85" s="129" t="s">
        <v>82</v>
      </c>
      <c r="C85" s="131">
        <f>'Posto 12x36 diurno ISS 3%'!C83</f>
        <v>0.01</v>
      </c>
      <c r="D85" s="90">
        <f t="shared" ref="D85:D88" si="2">(C$14)*C85</f>
        <v>31.381027732363638</v>
      </c>
    </row>
    <row r="86" spans="1:5" ht="16.2" thickBot="1" x14ac:dyDescent="0.35">
      <c r="A86" s="88" t="s">
        <v>41</v>
      </c>
      <c r="B86" s="129" t="s">
        <v>83</v>
      </c>
      <c r="C86" s="131">
        <f>'Posto 12x36 diurno ISS 3%'!C84</f>
        <v>0.01</v>
      </c>
      <c r="D86" s="90">
        <f t="shared" si="2"/>
        <v>31.381027732363638</v>
      </c>
    </row>
    <row r="87" spans="1:5" ht="16.2" thickBot="1" x14ac:dyDescent="0.35">
      <c r="A87" s="88" t="s">
        <v>43</v>
      </c>
      <c r="B87" s="127" t="str">
        <f>'Posto 12x36 diurno ISS 3%'!B85</f>
        <v>Outros (especificar)</v>
      </c>
      <c r="C87" s="131">
        <f>'Posto 12x36 diurno ISS 3%'!C85</f>
        <v>0</v>
      </c>
      <c r="D87" s="90">
        <f t="shared" si="2"/>
        <v>0</v>
      </c>
    </row>
    <row r="88" spans="1:5" ht="16.2" thickBot="1" x14ac:dyDescent="0.35">
      <c r="A88" s="198" t="s">
        <v>62</v>
      </c>
      <c r="B88" s="199"/>
      <c r="C88" s="111">
        <f>SUM(C82:C87)</f>
        <v>4.9944444444444444E-2</v>
      </c>
      <c r="D88" s="90">
        <f t="shared" si="2"/>
        <v>156.7307996188606</v>
      </c>
    </row>
    <row r="91" spans="1:5" x14ac:dyDescent="0.3">
      <c r="A91" s="197" t="s">
        <v>84</v>
      </c>
      <c r="B91" s="197"/>
      <c r="C91" s="197"/>
    </row>
    <row r="92" spans="1:5" ht="16.2" thickBot="1" x14ac:dyDescent="0.35">
      <c r="A92" s="92"/>
    </row>
    <row r="93" spans="1:5" ht="16.2" thickBot="1" x14ac:dyDescent="0.35">
      <c r="A93" s="86" t="s">
        <v>85</v>
      </c>
      <c r="B93" s="87" t="s">
        <v>124</v>
      </c>
      <c r="C93" s="87" t="s">
        <v>35</v>
      </c>
      <c r="E93" s="114">
        <f>C10+C11</f>
        <v>2659.6959999999999</v>
      </c>
    </row>
    <row r="94" spans="1:5" ht="16.2" thickBot="1" x14ac:dyDescent="0.35">
      <c r="A94" s="88" t="s">
        <v>36</v>
      </c>
      <c r="B94" s="89" t="s">
        <v>100</v>
      </c>
      <c r="C94" s="115">
        <f>E98</f>
        <v>294.40416814545461</v>
      </c>
      <c r="E94" s="114"/>
    </row>
    <row r="95" spans="1:5" ht="16.2" thickBot="1" x14ac:dyDescent="0.35">
      <c r="A95" s="198" t="s">
        <v>5</v>
      </c>
      <c r="B95" s="199"/>
      <c r="C95" s="115">
        <f>C94</f>
        <v>294.40416814545461</v>
      </c>
      <c r="E95" s="114"/>
    </row>
    <row r="96" spans="1:5" x14ac:dyDescent="0.3">
      <c r="E96" s="114">
        <f>E93/220</f>
        <v>12.089527272727272</v>
      </c>
    </row>
    <row r="97" spans="1:5" x14ac:dyDescent="0.3">
      <c r="E97" s="114">
        <f>E96*1.6</f>
        <v>19.343243636363638</v>
      </c>
    </row>
    <row r="98" spans="1:5" x14ac:dyDescent="0.3">
      <c r="A98" s="197" t="s">
        <v>87</v>
      </c>
      <c r="B98" s="197"/>
      <c r="C98" s="197"/>
      <c r="E98" s="114">
        <f>E97*15.22</f>
        <v>294.40416814545461</v>
      </c>
    </row>
    <row r="99" spans="1:5" ht="16.2" thickBot="1" x14ac:dyDescent="0.35">
      <c r="A99" s="92"/>
    </row>
    <row r="100" spans="1:5" ht="16.2" thickBot="1" x14ac:dyDescent="0.35">
      <c r="A100" s="86">
        <v>4</v>
      </c>
      <c r="B100" s="87" t="s">
        <v>88</v>
      </c>
      <c r="C100" s="87" t="s">
        <v>35</v>
      </c>
    </row>
    <row r="101" spans="1:5" ht="16.2" thickBot="1" x14ac:dyDescent="0.35">
      <c r="A101" s="88" t="s">
        <v>79</v>
      </c>
      <c r="B101" s="89" t="s">
        <v>80</v>
      </c>
      <c r="C101" s="90">
        <f>D88</f>
        <v>156.7307996188606</v>
      </c>
    </row>
    <row r="102" spans="1:5" ht="16.2" thickBot="1" x14ac:dyDescent="0.35">
      <c r="A102" s="88" t="s">
        <v>85</v>
      </c>
      <c r="B102" s="89" t="s">
        <v>86</v>
      </c>
      <c r="C102" s="90">
        <f>C95</f>
        <v>294.40416814545461</v>
      </c>
    </row>
    <row r="103" spans="1:5" ht="16.2" thickBot="1" x14ac:dyDescent="0.35">
      <c r="A103" s="198" t="s">
        <v>5</v>
      </c>
      <c r="B103" s="199"/>
      <c r="C103" s="91">
        <f>C101+C102</f>
        <v>451.13496776431521</v>
      </c>
    </row>
    <row r="106" spans="1:5" x14ac:dyDescent="0.3">
      <c r="A106" s="200" t="s">
        <v>89</v>
      </c>
      <c r="B106" s="200"/>
      <c r="C106" s="200"/>
    </row>
    <row r="107" spans="1:5" ht="16.2" thickBot="1" x14ac:dyDescent="0.35"/>
    <row r="108" spans="1:5" ht="16.2" thickBot="1" x14ac:dyDescent="0.35">
      <c r="A108" s="86">
        <v>5</v>
      </c>
      <c r="B108" s="116" t="s">
        <v>21</v>
      </c>
      <c r="C108" s="87" t="s">
        <v>35</v>
      </c>
    </row>
    <row r="109" spans="1:5" ht="16.2" thickBot="1" x14ac:dyDescent="0.35">
      <c r="A109" s="88" t="s">
        <v>36</v>
      </c>
      <c r="B109" s="89" t="s">
        <v>90</v>
      </c>
      <c r="C109" s="117">
        <f>'Planilha de Apoio - P 12 x 36'!C50</f>
        <v>285.41666666666669</v>
      </c>
    </row>
    <row r="110" spans="1:5" ht="16.2" thickBot="1" x14ac:dyDescent="0.35">
      <c r="A110" s="88" t="s">
        <v>38</v>
      </c>
      <c r="B110" s="89" t="s">
        <v>91</v>
      </c>
      <c r="C110" s="117">
        <f>'Planilha de Apoio - P 12 x 36'!D34</f>
        <v>4.75</v>
      </c>
    </row>
    <row r="111" spans="1:5" ht="16.2" thickBot="1" x14ac:dyDescent="0.35">
      <c r="A111" s="88" t="s">
        <v>39</v>
      </c>
      <c r="B111" s="50" t="s">
        <v>139</v>
      </c>
      <c r="C111" s="47"/>
    </row>
    <row r="112" spans="1:5" ht="16.2" thickBot="1" x14ac:dyDescent="0.35">
      <c r="A112" s="88" t="s">
        <v>40</v>
      </c>
      <c r="B112" s="50" t="s">
        <v>139</v>
      </c>
      <c r="C112" s="47"/>
    </row>
    <row r="113" spans="1:6" ht="16.2" thickBot="1" x14ac:dyDescent="0.35">
      <c r="A113" s="198" t="s">
        <v>62</v>
      </c>
      <c r="B113" s="199"/>
      <c r="C113" s="90">
        <f>SUM(C109:C112)</f>
        <v>290.16666666666669</v>
      </c>
    </row>
    <row r="116" spans="1:6" x14ac:dyDescent="0.3">
      <c r="A116" s="200" t="s">
        <v>92</v>
      </c>
      <c r="B116" s="200"/>
      <c r="C116" s="200"/>
    </row>
    <row r="117" spans="1:6" ht="16.2" thickBot="1" x14ac:dyDescent="0.35"/>
    <row r="118" spans="1:6" ht="16.2" thickBot="1" x14ac:dyDescent="0.35">
      <c r="A118" s="86">
        <v>6</v>
      </c>
      <c r="B118" s="116" t="s">
        <v>22</v>
      </c>
      <c r="C118" s="87" t="s">
        <v>55</v>
      </c>
      <c r="D118" s="87" t="s">
        <v>35</v>
      </c>
    </row>
    <row r="119" spans="1:6" ht="16.2" thickBot="1" x14ac:dyDescent="0.35">
      <c r="A119" s="88" t="s">
        <v>36</v>
      </c>
      <c r="B119" s="118" t="s">
        <v>23</v>
      </c>
      <c r="C119" s="46">
        <f>'Posto 12x36 diurno ISS 3%'!C117</f>
        <v>0.1</v>
      </c>
      <c r="D119" s="119">
        <f>C119*C138</f>
        <v>712.59579382907441</v>
      </c>
    </row>
    <row r="120" spans="1:6" ht="16.2" thickBot="1" x14ac:dyDescent="0.35">
      <c r="A120" s="88" t="s">
        <v>38</v>
      </c>
      <c r="B120" s="118" t="s">
        <v>25</v>
      </c>
      <c r="C120" s="46">
        <f>C119</f>
        <v>0.1</v>
      </c>
      <c r="D120" s="119">
        <f>C120*(C138+D119)</f>
        <v>783.85537321198194</v>
      </c>
    </row>
    <row r="121" spans="1:6" ht="16.2" thickBot="1" x14ac:dyDescent="0.35">
      <c r="A121" s="88" t="s">
        <v>39</v>
      </c>
      <c r="B121" s="89" t="s">
        <v>24</v>
      </c>
      <c r="C121" s="101"/>
      <c r="D121" s="90">
        <f>(C$14+C$61+D$73+C$103+C$113)*C121</f>
        <v>0</v>
      </c>
      <c r="E121" s="113"/>
      <c r="F121" s="113"/>
    </row>
    <row r="122" spans="1:6" ht="16.2" thickBot="1" x14ac:dyDescent="0.35">
      <c r="A122" s="88"/>
      <c r="B122" s="118" t="s">
        <v>104</v>
      </c>
      <c r="C122" s="120">
        <f>C123+C124</f>
        <v>3.6499999999999998E-2</v>
      </c>
      <c r="D122" s="119">
        <f>C122*E128</f>
        <v>340.7882321002823</v>
      </c>
      <c r="E122" s="102">
        <f>C123+C124+C126</f>
        <v>7.6499999999999999E-2</v>
      </c>
      <c r="F122" s="113"/>
    </row>
    <row r="123" spans="1:6" ht="16.2" thickBot="1" x14ac:dyDescent="0.35">
      <c r="A123" s="88"/>
      <c r="B123" s="89" t="s">
        <v>102</v>
      </c>
      <c r="C123" s="101">
        <v>0.03</v>
      </c>
      <c r="D123" s="90">
        <f>C123*E128</f>
        <v>280.09991679475257</v>
      </c>
      <c r="E123" s="113"/>
      <c r="F123" s="113"/>
    </row>
    <row r="124" spans="1:6" ht="16.2" thickBot="1" x14ac:dyDescent="0.35">
      <c r="A124" s="88"/>
      <c r="B124" s="89" t="s">
        <v>103</v>
      </c>
      <c r="C124" s="101">
        <v>6.4999999999999997E-3</v>
      </c>
      <c r="D124" s="90">
        <f>C124*E128</f>
        <v>60.688315305529727</v>
      </c>
      <c r="E124" s="113"/>
      <c r="F124" s="113"/>
    </row>
    <row r="125" spans="1:6" ht="16.2" thickBot="1" x14ac:dyDescent="0.35">
      <c r="A125" s="88"/>
      <c r="B125" s="118" t="s">
        <v>105</v>
      </c>
      <c r="C125" s="120">
        <v>0</v>
      </c>
      <c r="D125" s="119">
        <f>C125*E128</f>
        <v>0</v>
      </c>
      <c r="E125" s="113"/>
      <c r="F125" s="113"/>
    </row>
    <row r="126" spans="1:6" ht="16.2" thickBot="1" x14ac:dyDescent="0.35">
      <c r="A126" s="88"/>
      <c r="B126" s="118" t="s">
        <v>106</v>
      </c>
      <c r="C126" s="120">
        <v>0.04</v>
      </c>
      <c r="D126" s="119">
        <f>C126*E128</f>
        <v>373.46655572633682</v>
      </c>
      <c r="E126" s="113"/>
      <c r="F126" s="113"/>
    </row>
    <row r="127" spans="1:6" ht="16.2" thickBot="1" x14ac:dyDescent="0.35">
      <c r="A127" s="213" t="s">
        <v>62</v>
      </c>
      <c r="B127" s="214"/>
      <c r="C127" s="120">
        <f>C119+C120+C122+C125+C126</f>
        <v>0.27650000000000002</v>
      </c>
      <c r="D127" s="119">
        <f>D119+D120+D122+D125+D126</f>
        <v>2210.7059548676757</v>
      </c>
      <c r="E127" s="113"/>
      <c r="F127" s="121">
        <f>C138+D119+D120</f>
        <v>8622.4091053318007</v>
      </c>
    </row>
    <row r="128" spans="1:6" x14ac:dyDescent="0.3">
      <c r="E128" s="113">
        <f>(F127)/(100%-E122)</f>
        <v>9336.6638931584203</v>
      </c>
      <c r="F128" s="113"/>
    </row>
    <row r="129" spans="1:6" x14ac:dyDescent="0.3">
      <c r="E129" s="113"/>
      <c r="F129" s="113"/>
    </row>
    <row r="130" spans="1:6" x14ac:dyDescent="0.3">
      <c r="A130" s="200" t="s">
        <v>93</v>
      </c>
      <c r="B130" s="200"/>
      <c r="C130" s="200"/>
      <c r="E130" s="113"/>
      <c r="F130" s="113"/>
    </row>
    <row r="131" spans="1:6" ht="16.2" thickBot="1" x14ac:dyDescent="0.35"/>
    <row r="132" spans="1:6" ht="16.2" thickBot="1" x14ac:dyDescent="0.35">
      <c r="A132" s="86"/>
      <c r="B132" s="87" t="s">
        <v>94</v>
      </c>
      <c r="C132" s="87" t="s">
        <v>35</v>
      </c>
    </row>
    <row r="133" spans="1:6" ht="16.2" thickBot="1" x14ac:dyDescent="0.35">
      <c r="A133" s="122" t="s">
        <v>36</v>
      </c>
      <c r="B133" s="89" t="s">
        <v>33</v>
      </c>
      <c r="C133" s="123">
        <f>C14</f>
        <v>3138.1027732363636</v>
      </c>
    </row>
    <row r="134" spans="1:6" ht="16.2" thickBot="1" x14ac:dyDescent="0.35">
      <c r="A134" s="122" t="s">
        <v>38</v>
      </c>
      <c r="B134" s="89" t="s">
        <v>46</v>
      </c>
      <c r="C134" s="123">
        <f>C61</f>
        <v>3023.5122483950699</v>
      </c>
    </row>
    <row r="135" spans="1:6" ht="16.2" thickBot="1" x14ac:dyDescent="0.35">
      <c r="A135" s="122" t="s">
        <v>39</v>
      </c>
      <c r="B135" s="89" t="s">
        <v>69</v>
      </c>
      <c r="C135" s="123">
        <f>D73</f>
        <v>223.04128222832918</v>
      </c>
    </row>
    <row r="136" spans="1:6" ht="16.2" thickBot="1" x14ac:dyDescent="0.35">
      <c r="A136" s="122" t="s">
        <v>40</v>
      </c>
      <c r="B136" s="89" t="s">
        <v>77</v>
      </c>
      <c r="C136" s="123">
        <f>C103</f>
        <v>451.13496776431521</v>
      </c>
    </row>
    <row r="137" spans="1:6" ht="16.2" thickBot="1" x14ac:dyDescent="0.35">
      <c r="A137" s="122" t="s">
        <v>41</v>
      </c>
      <c r="B137" s="89" t="s">
        <v>89</v>
      </c>
      <c r="C137" s="123">
        <f>C113</f>
        <v>290.16666666666669</v>
      </c>
    </row>
    <row r="138" spans="1:6" ht="16.5" customHeight="1" thickBot="1" x14ac:dyDescent="0.35">
      <c r="A138" s="198" t="s">
        <v>95</v>
      </c>
      <c r="B138" s="199"/>
      <c r="C138" s="123">
        <f>SUM(C133:C137)</f>
        <v>7125.9579382907441</v>
      </c>
    </row>
    <row r="139" spans="1:6" ht="16.2" thickBot="1" x14ac:dyDescent="0.35">
      <c r="A139" s="122" t="s">
        <v>43</v>
      </c>
      <c r="B139" s="89" t="s">
        <v>96</v>
      </c>
      <c r="C139" s="123">
        <f>D127</f>
        <v>2210.7059548676757</v>
      </c>
    </row>
    <row r="140" spans="1:6" ht="16.5" customHeight="1" x14ac:dyDescent="0.3">
      <c r="A140" s="211" t="s">
        <v>97</v>
      </c>
      <c r="B140" s="212"/>
      <c r="C140" s="124">
        <f>C138+C139</f>
        <v>9336.6638931584203</v>
      </c>
    </row>
    <row r="141" spans="1:6" ht="16.5" customHeight="1" x14ac:dyDescent="0.3">
      <c r="A141" s="208" t="s">
        <v>115</v>
      </c>
      <c r="B141" s="209"/>
      <c r="C141" s="125">
        <v>2</v>
      </c>
    </row>
    <row r="142" spans="1:6" ht="16.2" thickBot="1" x14ac:dyDescent="0.35">
      <c r="A142" s="210" t="s">
        <v>116</v>
      </c>
      <c r="B142" s="210"/>
      <c r="C142" s="126">
        <f>C140*C141</f>
        <v>18673.327786316841</v>
      </c>
    </row>
  </sheetData>
  <sheetProtection password="CDE0" sheet="1" objects="1" scenarios="1"/>
  <mergeCells count="35">
    <mergeCell ref="B6:C6"/>
    <mergeCell ref="A1:D1"/>
    <mergeCell ref="A2:D2"/>
    <mergeCell ref="A3:D3"/>
    <mergeCell ref="B4:C4"/>
    <mergeCell ref="B5:C5"/>
    <mergeCell ref="A64:C64"/>
    <mergeCell ref="A7:C7"/>
    <mergeCell ref="A14:B14"/>
    <mergeCell ref="A17:C17"/>
    <mergeCell ref="A19:C19"/>
    <mergeCell ref="A24:B24"/>
    <mergeCell ref="A27:D27"/>
    <mergeCell ref="A38:B38"/>
    <mergeCell ref="A41:C41"/>
    <mergeCell ref="A52:B52"/>
    <mergeCell ref="A55:C55"/>
    <mergeCell ref="A61:B61"/>
    <mergeCell ref="A127:B127"/>
    <mergeCell ref="A73:B73"/>
    <mergeCell ref="A76:C76"/>
    <mergeCell ref="A79:C79"/>
    <mergeCell ref="A88:B88"/>
    <mergeCell ref="A91:C91"/>
    <mergeCell ref="A95:B95"/>
    <mergeCell ref="A98:C98"/>
    <mergeCell ref="A103:B103"/>
    <mergeCell ref="A106:C106"/>
    <mergeCell ref="A113:B113"/>
    <mergeCell ref="A116:C116"/>
    <mergeCell ref="A130:C130"/>
    <mergeCell ref="A138:B138"/>
    <mergeCell ref="A140:B140"/>
    <mergeCell ref="A141:B141"/>
    <mergeCell ref="A142:B142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51:C51 B45:C50 B83:C8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50"/>
  <sheetViews>
    <sheetView topLeftCell="A34" workbookViewId="0">
      <selection activeCell="C41" sqref="C41"/>
    </sheetView>
  </sheetViews>
  <sheetFormatPr defaultColWidth="9.109375" defaultRowHeight="14.4" x14ac:dyDescent="0.3"/>
  <cols>
    <col min="1" max="1" width="23" style="132" bestFit="1" customWidth="1"/>
    <col min="2" max="2" width="23.109375" style="132" customWidth="1"/>
    <col min="3" max="3" width="30.6640625" style="132" customWidth="1"/>
    <col min="4" max="4" width="27.44140625" style="132" customWidth="1"/>
    <col min="5" max="5" width="13.88671875" style="132" customWidth="1"/>
    <col min="6" max="16384" width="9.109375" style="132"/>
  </cols>
  <sheetData>
    <row r="2" spans="1:5" ht="15" thickBot="1" x14ac:dyDescent="0.35"/>
    <row r="3" spans="1:5" ht="16.2" thickBot="1" x14ac:dyDescent="0.35">
      <c r="A3" s="245" t="s">
        <v>13</v>
      </c>
      <c r="B3" s="246"/>
      <c r="C3" s="246"/>
      <c r="D3" s="246"/>
      <c r="E3" s="247"/>
    </row>
    <row r="4" spans="1:5" ht="16.2" thickBot="1" x14ac:dyDescent="0.35">
      <c r="A4" s="245" t="s">
        <v>144</v>
      </c>
      <c r="B4" s="246"/>
      <c r="C4" s="246"/>
      <c r="D4" s="246"/>
      <c r="E4" s="247"/>
    </row>
    <row r="5" spans="1:5" ht="31.8" thickBot="1" x14ac:dyDescent="0.35">
      <c r="A5" s="133" t="s">
        <v>101</v>
      </c>
      <c r="B5" s="134" t="s">
        <v>9</v>
      </c>
      <c r="C5" s="134" t="s">
        <v>10</v>
      </c>
      <c r="D5" s="135" t="s">
        <v>12</v>
      </c>
      <c r="E5" s="136" t="s">
        <v>11</v>
      </c>
    </row>
    <row r="6" spans="1:5" ht="15.6" x14ac:dyDescent="0.3">
      <c r="A6" s="137"/>
      <c r="B6" s="51">
        <v>6.5</v>
      </c>
      <c r="C6" s="138">
        <v>2</v>
      </c>
      <c r="D6" s="139">
        <v>15.22</v>
      </c>
      <c r="E6" s="140">
        <f t="shared" ref="E6" si="0">B6*C6*D6</f>
        <v>197.86</v>
      </c>
    </row>
    <row r="7" spans="1:5" ht="15" thickBot="1" x14ac:dyDescent="0.35">
      <c r="A7" s="141"/>
      <c r="B7" s="142"/>
      <c r="C7" s="142"/>
      <c r="D7" s="142"/>
      <c r="E7" s="143"/>
    </row>
    <row r="8" spans="1:5" ht="16.2" thickBot="1" x14ac:dyDescent="0.35">
      <c r="A8" s="245" t="s">
        <v>17</v>
      </c>
      <c r="B8" s="246"/>
      <c r="C8" s="246"/>
      <c r="D8" s="246"/>
      <c r="E8" s="247"/>
    </row>
    <row r="9" spans="1:5" ht="16.2" thickBot="1" x14ac:dyDescent="0.35">
      <c r="A9" s="133" t="s">
        <v>2</v>
      </c>
      <c r="B9" s="134" t="s">
        <v>0</v>
      </c>
      <c r="C9" s="134" t="s">
        <v>14</v>
      </c>
      <c r="D9" s="134" t="s">
        <v>1</v>
      </c>
      <c r="E9" s="136" t="s">
        <v>15</v>
      </c>
    </row>
    <row r="10" spans="1:5" ht="16.2" thickBot="1" x14ac:dyDescent="0.35">
      <c r="A10" s="137"/>
      <c r="B10" s="90">
        <v>2045.92</v>
      </c>
      <c r="C10" s="144">
        <v>1</v>
      </c>
      <c r="D10" s="144">
        <v>0.06</v>
      </c>
      <c r="E10" s="140">
        <f t="shared" ref="E10" si="1">B10*C10*D10</f>
        <v>122.7552</v>
      </c>
    </row>
    <row r="11" spans="1:5" ht="16.2" thickBot="1" x14ac:dyDescent="0.35">
      <c r="A11" s="141"/>
      <c r="B11" s="142"/>
      <c r="C11" s="144"/>
      <c r="D11" s="144"/>
      <c r="E11" s="140"/>
    </row>
    <row r="12" spans="1:5" ht="16.2" thickBot="1" x14ac:dyDescent="0.35">
      <c r="A12" s="248" t="s">
        <v>146</v>
      </c>
      <c r="B12" s="249"/>
      <c r="C12" s="249"/>
      <c r="D12" s="250"/>
      <c r="E12" s="143"/>
    </row>
    <row r="13" spans="1:5" ht="16.2" thickBot="1" x14ac:dyDescent="0.35">
      <c r="A13" s="133" t="s">
        <v>2</v>
      </c>
      <c r="B13" s="134" t="s">
        <v>11</v>
      </c>
      <c r="C13" s="134" t="s">
        <v>16</v>
      </c>
      <c r="D13" s="136" t="s">
        <v>18</v>
      </c>
      <c r="E13" s="143"/>
    </row>
    <row r="14" spans="1:5" ht="16.2" thickBot="1" x14ac:dyDescent="0.35">
      <c r="A14" s="137"/>
      <c r="B14" s="145">
        <f>E6</f>
        <v>197.86</v>
      </c>
      <c r="C14" s="145">
        <f>E10</f>
        <v>122.7552</v>
      </c>
      <c r="D14" s="146">
        <f>B14-C14</f>
        <v>75.104800000000012</v>
      </c>
      <c r="E14" s="147"/>
    </row>
    <row r="15" spans="1:5" ht="16.2" thickBot="1" x14ac:dyDescent="0.35">
      <c r="C15" s="148"/>
      <c r="D15" s="146"/>
    </row>
    <row r="16" spans="1:5" ht="16.2" thickBot="1" x14ac:dyDescent="0.35">
      <c r="A16" s="248" t="s">
        <v>19</v>
      </c>
      <c r="B16" s="249"/>
      <c r="C16" s="249"/>
      <c r="D16" s="250"/>
    </row>
    <row r="17" spans="1:5" ht="16.2" thickBot="1" x14ac:dyDescent="0.35">
      <c r="A17" s="248" t="s">
        <v>144</v>
      </c>
      <c r="B17" s="249"/>
      <c r="C17" s="249"/>
      <c r="D17" s="250"/>
    </row>
    <row r="18" spans="1:5" ht="16.2" thickBot="1" x14ac:dyDescent="0.35">
      <c r="A18" s="149" t="s">
        <v>2</v>
      </c>
      <c r="B18" s="150" t="s">
        <v>20</v>
      </c>
      <c r="C18" s="151" t="s">
        <v>12</v>
      </c>
      <c r="D18" s="152" t="s">
        <v>3</v>
      </c>
    </row>
    <row r="19" spans="1:5" ht="16.2" thickBot="1" x14ac:dyDescent="0.35">
      <c r="A19" s="137"/>
      <c r="B19" s="153">
        <v>37</v>
      </c>
      <c r="C19" s="139">
        <v>15.22</v>
      </c>
      <c r="D19" s="140">
        <f>(B19*C19)</f>
        <v>563.14</v>
      </c>
      <c r="E19" s="154"/>
    </row>
    <row r="20" spans="1:5" ht="16.2" thickBot="1" x14ac:dyDescent="0.35">
      <c r="A20" s="251" t="s">
        <v>114</v>
      </c>
      <c r="B20" s="253"/>
      <c r="C20" s="144">
        <v>0.18</v>
      </c>
      <c r="D20" s="140">
        <f>((B19*C19)*C20)</f>
        <v>101.36519999999999</v>
      </c>
    </row>
    <row r="21" spans="1:5" ht="15.6" x14ac:dyDescent="0.3">
      <c r="A21" s="251" t="s">
        <v>145</v>
      </c>
      <c r="B21" s="252"/>
      <c r="C21" s="253"/>
      <c r="D21" s="155">
        <f>D19-D20</f>
        <v>461.77480000000003</v>
      </c>
    </row>
    <row r="22" spans="1:5" ht="15.6" x14ac:dyDescent="0.3">
      <c r="A22" s="156"/>
      <c r="B22" s="157"/>
      <c r="C22" s="158"/>
      <c r="D22" s="159"/>
    </row>
    <row r="23" spans="1:5" ht="16.2" thickBot="1" x14ac:dyDescent="0.35">
      <c r="A23" s="254" t="s">
        <v>123</v>
      </c>
      <c r="B23" s="255"/>
      <c r="C23" s="255"/>
      <c r="D23" s="256"/>
    </row>
    <row r="24" spans="1:5" ht="16.2" thickBot="1" x14ac:dyDescent="0.35">
      <c r="A24" s="149" t="s">
        <v>2</v>
      </c>
      <c r="B24" s="150" t="s">
        <v>111</v>
      </c>
      <c r="C24" s="151" t="s">
        <v>113</v>
      </c>
      <c r="D24" s="152" t="s">
        <v>3</v>
      </c>
      <c r="E24" s="154"/>
    </row>
    <row r="25" spans="1:5" ht="15.6" x14ac:dyDescent="0.3">
      <c r="A25" s="137"/>
      <c r="B25" s="153">
        <v>187.97</v>
      </c>
      <c r="C25" s="139">
        <v>0.05</v>
      </c>
      <c r="D25" s="140">
        <f>B25-(B25*C25)</f>
        <v>178.57149999999999</v>
      </c>
    </row>
    <row r="26" spans="1:5" ht="15.6" x14ac:dyDescent="0.3">
      <c r="A26" s="257" t="s">
        <v>117</v>
      </c>
      <c r="B26" s="257"/>
      <c r="C26" s="257"/>
      <c r="D26" s="257"/>
    </row>
    <row r="27" spans="1:5" ht="15.6" x14ac:dyDescent="0.3">
      <c r="A27" s="257" t="s">
        <v>121</v>
      </c>
      <c r="B27" s="257"/>
      <c r="C27" s="257"/>
      <c r="D27" s="257"/>
    </row>
    <row r="28" spans="1:5" ht="15.6" x14ac:dyDescent="0.3">
      <c r="A28" s="160" t="s">
        <v>2</v>
      </c>
      <c r="B28" s="160" t="s">
        <v>3</v>
      </c>
      <c r="C28" s="161" t="s">
        <v>111</v>
      </c>
      <c r="D28" s="160" t="s">
        <v>141</v>
      </c>
    </row>
    <row r="29" spans="1:5" x14ac:dyDescent="0.3">
      <c r="A29" s="162" t="s">
        <v>159</v>
      </c>
      <c r="B29" s="52">
        <v>10</v>
      </c>
      <c r="C29" s="163">
        <f t="shared" ref="C29:C33" si="2">B29/12</f>
        <v>0.83333333333333337</v>
      </c>
      <c r="D29" s="163">
        <f t="shared" ref="D29:D33" si="3">C29/2</f>
        <v>0.41666666666666669</v>
      </c>
    </row>
    <row r="30" spans="1:5" x14ac:dyDescent="0.3">
      <c r="A30" s="163" t="s">
        <v>118</v>
      </c>
      <c r="B30" s="52">
        <v>24</v>
      </c>
      <c r="C30" s="163">
        <f t="shared" si="2"/>
        <v>2</v>
      </c>
      <c r="D30" s="163">
        <f t="shared" si="3"/>
        <v>1</v>
      </c>
    </row>
    <row r="31" spans="1:5" x14ac:dyDescent="0.3">
      <c r="A31" s="163" t="s">
        <v>119</v>
      </c>
      <c r="B31" s="52">
        <v>80</v>
      </c>
      <c r="C31" s="163">
        <f t="shared" si="2"/>
        <v>6.666666666666667</v>
      </c>
      <c r="D31" s="163">
        <f t="shared" si="3"/>
        <v>3.3333333333333335</v>
      </c>
    </row>
    <row r="32" spans="1:5" x14ac:dyDescent="0.3">
      <c r="A32" s="175"/>
      <c r="B32" s="52"/>
      <c r="C32" s="163">
        <f t="shared" si="2"/>
        <v>0</v>
      </c>
      <c r="D32" s="163">
        <f t="shared" si="3"/>
        <v>0</v>
      </c>
    </row>
    <row r="33" spans="1:4" x14ac:dyDescent="0.3">
      <c r="A33" s="176"/>
      <c r="B33" s="52"/>
      <c r="C33" s="163">
        <f t="shared" si="2"/>
        <v>0</v>
      </c>
      <c r="D33" s="163">
        <f t="shared" si="3"/>
        <v>0</v>
      </c>
    </row>
    <row r="34" spans="1:4" x14ac:dyDescent="0.3">
      <c r="A34" s="236" t="s">
        <v>5</v>
      </c>
      <c r="B34" s="237"/>
      <c r="C34" s="238"/>
      <c r="D34" s="163">
        <f>SUM(D29:D33)</f>
        <v>4.75</v>
      </c>
    </row>
    <row r="35" spans="1:4" ht="16.2" thickBot="1" x14ac:dyDescent="0.35">
      <c r="A35" s="239" t="s">
        <v>142</v>
      </c>
      <c r="B35" s="240"/>
      <c r="C35" s="240"/>
      <c r="D35" s="241"/>
    </row>
    <row r="36" spans="1:4" ht="16.2" thickBot="1" x14ac:dyDescent="0.35">
      <c r="A36" s="164" t="s">
        <v>26</v>
      </c>
      <c r="B36" s="44" t="s">
        <v>27</v>
      </c>
      <c r="C36" s="44" t="s">
        <v>28</v>
      </c>
      <c r="D36" s="165" t="s">
        <v>3</v>
      </c>
    </row>
    <row r="37" spans="1:4" ht="16.2" thickBot="1" x14ac:dyDescent="0.35">
      <c r="A37" s="166" t="s">
        <v>153</v>
      </c>
      <c r="B37" s="2">
        <v>2</v>
      </c>
      <c r="C37" s="53">
        <v>650</v>
      </c>
      <c r="D37" s="167">
        <f>C37*B37</f>
        <v>1300</v>
      </c>
    </row>
    <row r="38" spans="1:4" ht="16.2" thickBot="1" x14ac:dyDescent="0.35">
      <c r="A38" s="168" t="s">
        <v>154</v>
      </c>
      <c r="B38" s="3">
        <v>3</v>
      </c>
      <c r="C38" s="53">
        <v>35</v>
      </c>
      <c r="D38" s="167">
        <f t="shared" ref="D38" si="4">C38*B38</f>
        <v>105</v>
      </c>
    </row>
    <row r="39" spans="1:4" ht="16.2" thickBot="1" x14ac:dyDescent="0.35">
      <c r="A39" s="166" t="s">
        <v>155</v>
      </c>
      <c r="B39" s="2">
        <v>3</v>
      </c>
      <c r="C39" s="53">
        <v>150</v>
      </c>
      <c r="D39" s="167">
        <f>C39*B39</f>
        <v>450</v>
      </c>
    </row>
    <row r="40" spans="1:4" ht="16.2" thickBot="1" x14ac:dyDescent="0.35">
      <c r="A40" s="168" t="s">
        <v>29</v>
      </c>
      <c r="B40" s="3">
        <v>4</v>
      </c>
      <c r="C40" s="53">
        <v>150</v>
      </c>
      <c r="D40" s="167">
        <f t="shared" ref="D40:D46" si="5">C40*B40</f>
        <v>600</v>
      </c>
    </row>
    <row r="41" spans="1:4" ht="16.2" thickBot="1" x14ac:dyDescent="0.35">
      <c r="A41" s="168" t="s">
        <v>140</v>
      </c>
      <c r="B41" s="3">
        <v>2</v>
      </c>
      <c r="C41" s="53">
        <v>150</v>
      </c>
      <c r="D41" s="167">
        <f t="shared" si="5"/>
        <v>300</v>
      </c>
    </row>
    <row r="42" spans="1:4" ht="16.2" thickBot="1" x14ac:dyDescent="0.35">
      <c r="A42" s="168" t="s">
        <v>120</v>
      </c>
      <c r="B42" s="3">
        <v>5</v>
      </c>
      <c r="C42" s="53">
        <v>15</v>
      </c>
      <c r="D42" s="167">
        <f t="shared" si="5"/>
        <v>75</v>
      </c>
    </row>
    <row r="43" spans="1:4" ht="16.2" thickBot="1" x14ac:dyDescent="0.35">
      <c r="A43" s="168" t="s">
        <v>156</v>
      </c>
      <c r="B43" s="3">
        <v>1</v>
      </c>
      <c r="C43" s="53">
        <v>380</v>
      </c>
      <c r="D43" s="167">
        <f t="shared" si="5"/>
        <v>380</v>
      </c>
    </row>
    <row r="44" spans="1:4" ht="16.2" thickBot="1" x14ac:dyDescent="0.35">
      <c r="A44" s="169" t="s">
        <v>157</v>
      </c>
      <c r="B44" s="3">
        <v>1</v>
      </c>
      <c r="C44" s="53">
        <v>50</v>
      </c>
      <c r="D44" s="167">
        <f t="shared" si="5"/>
        <v>50</v>
      </c>
    </row>
    <row r="45" spans="1:4" ht="16.2" thickBot="1" x14ac:dyDescent="0.35">
      <c r="A45" s="169" t="s">
        <v>158</v>
      </c>
      <c r="B45" s="3">
        <v>1</v>
      </c>
      <c r="C45" s="53">
        <v>5</v>
      </c>
      <c r="D45" s="167">
        <f t="shared" si="5"/>
        <v>5</v>
      </c>
    </row>
    <row r="46" spans="1:4" ht="16.2" thickBot="1" x14ac:dyDescent="0.35">
      <c r="A46" s="168" t="s">
        <v>110</v>
      </c>
      <c r="B46" s="3">
        <v>2</v>
      </c>
      <c r="C46" s="53">
        <v>80</v>
      </c>
      <c r="D46" s="167">
        <f t="shared" si="5"/>
        <v>160</v>
      </c>
    </row>
    <row r="47" spans="1:4" ht="16.2" thickBot="1" x14ac:dyDescent="0.35">
      <c r="A47" s="242" t="s">
        <v>30</v>
      </c>
      <c r="B47" s="243"/>
      <c r="C47" s="244"/>
      <c r="D47" s="170"/>
    </row>
    <row r="48" spans="1:4" ht="16.2" thickBot="1" x14ac:dyDescent="0.35">
      <c r="A48" s="242" t="s">
        <v>31</v>
      </c>
      <c r="B48" s="243"/>
      <c r="C48" s="244"/>
      <c r="D48" s="171"/>
    </row>
    <row r="49" spans="1:4" ht="16.2" thickBot="1" x14ac:dyDescent="0.35">
      <c r="A49" s="172" t="s">
        <v>2</v>
      </c>
      <c r="B49" s="173" t="s">
        <v>163</v>
      </c>
      <c r="C49" s="174" t="s">
        <v>32</v>
      </c>
      <c r="D49" s="171"/>
    </row>
    <row r="50" spans="1:4" ht="15.6" x14ac:dyDescent="0.3">
      <c r="A50" s="137"/>
      <c r="B50" s="5">
        <f>SUM(D37:D46)</f>
        <v>3425</v>
      </c>
      <c r="C50" s="45">
        <f>B50/12</f>
        <v>285.41666666666669</v>
      </c>
      <c r="D50" s="4"/>
    </row>
  </sheetData>
  <sheetProtection password="CDE0" sheet="1" objects="1" scenarios="1"/>
  <mergeCells count="15">
    <mergeCell ref="A34:C34"/>
    <mergeCell ref="A35:D35"/>
    <mergeCell ref="A47:C47"/>
    <mergeCell ref="A48:C48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Resumo postos</vt:lpstr>
      <vt:lpstr>Posto 12x36 diurno ISS 3%</vt:lpstr>
      <vt:lpstr>Posto 12x36 noturno ISS 3%</vt:lpstr>
      <vt:lpstr>Posto 12x36 diurno ISS 4%</vt:lpstr>
      <vt:lpstr>Posto 12x36 noturno ISS 4%</vt:lpstr>
      <vt:lpstr>Planilha de Apoio - P 12 x 36</vt:lpstr>
      <vt:lpstr>'Posto 12x36 diurno ISS 3%'!Area_de_impressao</vt:lpstr>
      <vt:lpstr>'Posto 12x36 noturno ISS 3%'!Area_de_impressao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2024-10-14T11:45:01Z</dcterms:modified>
</cp:coreProperties>
</file>